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U:\Supply Resource Planning\2025 WA IRP\"/>
    </mc:Choice>
  </mc:AlternateContent>
  <xr:revisionPtr revIDLastSave="0" documentId="13_ncr:1_{26789C28-F77A-4AEB-B1DF-39C2CCC6297A}" xr6:coauthVersionLast="47" xr6:coauthVersionMax="47" xr10:uidLastSave="{00000000-0000-0000-0000-000000000000}"/>
  <bookViews>
    <workbookView xWindow="26715" yWindow="2205" windowWidth="28770" windowHeight="15600" tabRatio="890" xr2:uid="{78B4EB8C-1C98-4BA4-8952-D0A42100AD17}"/>
  </bookViews>
  <sheets>
    <sheet name="SUMMARY" sheetId="1" r:id="rId1"/>
    <sheet name="NEW FINAL CALCULATION " sheetId="20" r:id="rId2"/>
    <sheet name="INCRM FIXED TRANSPORT" sheetId="2" r:id="rId3"/>
    <sheet name="VARIABLE TRANSPORT" sheetId="3" r:id="rId4"/>
    <sheet name="FUEL" sheetId="13" r:id="rId5"/>
    <sheet name="FIXED STORAGE" sheetId="4" r:id="rId6"/>
    <sheet name="VARIABLE STORAGE" sheetId="5" r:id="rId7"/>
    <sheet name="COMMODITY COST" sheetId="6" r:id="rId8"/>
    <sheet name="CARBON TAX" sheetId="7" r:id="rId9"/>
    <sheet name="Upstream Emissions" sheetId="22" r:id="rId10"/>
    <sheet name="ENVIRONMENTAL ADDER" sheetId="8" r:id="rId11"/>
    <sheet name="DISTRIBUTION SYSTEM" sheetId="9" r:id="rId12"/>
    <sheet name="RISK PREMIUM" sheetId="10" r:id="rId13"/>
    <sheet name="INFLATION" sheetId="11" r:id="rId14"/>
  </sheets>
  <definedNames>
    <definedName name="_xlnm.Print_Area" localSheetId="8">'CARBON TAX'!$A$1:$S$34</definedName>
    <definedName name="_xlnm.Print_Area" localSheetId="7">'COMMODITY COST'!$A$1:$W$33</definedName>
    <definedName name="_xlnm.Print_Area" localSheetId="11">'DISTRIBUTION SYSTEM'!$A$1:$I$31</definedName>
    <definedName name="_xlnm.Print_Area" localSheetId="10">'ENVIRONMENTAL ADDER'!$A$1:$F$31</definedName>
    <definedName name="_xlnm.Print_Area" localSheetId="5">'FIXED STORAGE'!$A$1:$C$35</definedName>
    <definedName name="_xlnm.Print_Area" localSheetId="4">FUEL!$A$1:$F$47</definedName>
    <definedName name="_xlnm.Print_Area" localSheetId="2">'INCRM FIXED TRANSPORT'!$A$1:$C$30</definedName>
    <definedName name="_xlnm.Print_Area" localSheetId="13">INFLATION!$A$1:$B$51</definedName>
    <definedName name="_xlnm.Print_Area" localSheetId="1">'NEW FINAL CALCULATION '!$B$1:$W$48</definedName>
    <definedName name="_xlnm.Print_Area" localSheetId="12">'RISK PREMIUM'!$A$1:$B$32</definedName>
    <definedName name="_xlnm.Print_Area" localSheetId="0">SUMMARY!$A$1:$W$15</definedName>
    <definedName name="_xlnm.Print_Area" localSheetId="9">'Upstream Emissions'!$A$1:$T$19</definedName>
    <definedName name="_xlnm.Print_Area" localSheetId="6">'VARIABLE STORAGE'!$A$1:$C$31</definedName>
    <definedName name="_xlnm.Print_Area" localSheetId="3">'VARIABLE TRANSPORT'!$A$1:$E$35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33" i="7"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D5" i="4"/>
  <c r="A6" i="4"/>
  <c r="D6" i="4" s="1"/>
  <c r="B5" i="4"/>
  <c r="B6" i="4"/>
  <c r="B7" i="4"/>
  <c r="B8" i="4"/>
  <c r="A7" i="4" l="1"/>
  <c r="G3" i="22"/>
  <c r="E37" i="13"/>
  <c r="B6" i="13" s="1"/>
  <c r="Q30" i="7"/>
  <c r="Q28" i="7"/>
  <c r="Q27" i="7"/>
  <c r="Q26" i="7"/>
  <c r="Q18" i="7"/>
  <c r="Q16" i="7"/>
  <c r="Q15" i="7"/>
  <c r="Q14" i="7"/>
  <c r="Q10" i="7"/>
  <c r="B25" i="8"/>
  <c r="B26" i="8"/>
  <c r="B27" i="8"/>
  <c r="B28" i="8"/>
  <c r="B29" i="8"/>
  <c r="B30" i="8"/>
  <c r="Q7" i="7"/>
  <c r="Q8" i="7"/>
  <c r="Q9" i="7"/>
  <c r="Q11" i="7"/>
  <c r="Q12" i="7"/>
  <c r="Q13" i="7"/>
  <c r="Q17" i="7"/>
  <c r="Q19" i="7"/>
  <c r="Q20" i="7"/>
  <c r="Q21" i="7"/>
  <c r="Q22" i="7"/>
  <c r="Q23" i="7"/>
  <c r="Q24" i="7"/>
  <c r="Q25" i="7"/>
  <c r="Q29" i="7"/>
  <c r="Q31" i="7"/>
  <c r="Q6" i="7"/>
  <c r="P6" i="7"/>
  <c r="P7" i="7" s="1"/>
  <c r="P8" i="7" s="1"/>
  <c r="P9" i="7" s="1"/>
  <c r="P10" i="7" s="1"/>
  <c r="P11" i="7" s="1"/>
  <c r="P12" i="7" s="1"/>
  <c r="P13" i="7" s="1"/>
  <c r="P14" i="7" s="1"/>
  <c r="P15" i="7" s="1"/>
  <c r="P16" i="7" s="1"/>
  <c r="P17" i="7" s="1"/>
  <c r="P18" i="7" s="1"/>
  <c r="P19" i="7" s="1"/>
  <c r="P20" i="7" s="1"/>
  <c r="P21" i="7" s="1"/>
  <c r="P22" i="7" s="1"/>
  <c r="P23" i="7" s="1"/>
  <c r="P24" i="7" s="1"/>
  <c r="P25" i="7" s="1"/>
  <c r="P26" i="7" s="1"/>
  <c r="P27" i="7" s="1"/>
  <c r="P28" i="7" s="1"/>
  <c r="P29" i="7" s="1"/>
  <c r="P30" i="7" s="1"/>
  <c r="P31" i="7" s="1"/>
  <c r="L6" i="7"/>
  <c r="L7" i="7" s="1"/>
  <c r="L8" i="7" s="1"/>
  <c r="L9" i="7" s="1"/>
  <c r="L10" i="7" s="1"/>
  <c r="L11" i="7" s="1"/>
  <c r="L12" i="7" s="1"/>
  <c r="L13" i="7" s="1"/>
  <c r="L14" i="7" s="1"/>
  <c r="L15" i="7" s="1"/>
  <c r="L16" i="7" s="1"/>
  <c r="L17" i="7" s="1"/>
  <c r="L18" i="7" s="1"/>
  <c r="L19" i="7" s="1"/>
  <c r="L20" i="7" s="1"/>
  <c r="L21" i="7" s="1"/>
  <c r="L22" i="7" s="1"/>
  <c r="L23" i="7" s="1"/>
  <c r="L24" i="7" s="1"/>
  <c r="L25" i="7" s="1"/>
  <c r="L26" i="7" s="1"/>
  <c r="L27" i="7" s="1"/>
  <c r="L28" i="7" s="1"/>
  <c r="L29" i="7" s="1"/>
  <c r="L30" i="7" s="1"/>
  <c r="L31" i="7" s="1"/>
  <c r="H27" i="6"/>
  <c r="H29" i="6"/>
  <c r="H28" i="6"/>
  <c r="H26" i="6"/>
  <c r="H25" i="6"/>
  <c r="H24" i="6"/>
  <c r="G29" i="6"/>
  <c r="G28" i="6"/>
  <c r="G27" i="6"/>
  <c r="G26" i="6"/>
  <c r="G25" i="6"/>
  <c r="G24" i="6"/>
  <c r="F29" i="6"/>
  <c r="F28" i="6"/>
  <c r="F27" i="6"/>
  <c r="F26" i="6"/>
  <c r="F25" i="6"/>
  <c r="F24" i="6"/>
  <c r="E29" i="6"/>
  <c r="E28" i="6"/>
  <c r="E27" i="6"/>
  <c r="E26" i="6"/>
  <c r="E25" i="6"/>
  <c r="E24" i="6"/>
  <c r="D29" i="6"/>
  <c r="D28" i="6"/>
  <c r="D27" i="6"/>
  <c r="D26" i="6"/>
  <c r="D25" i="6"/>
  <c r="D24" i="6"/>
  <c r="C29" i="6"/>
  <c r="C28" i="6"/>
  <c r="C27" i="6"/>
  <c r="C26" i="6"/>
  <c r="C25" i="6"/>
  <c r="C24" i="6"/>
  <c r="B29" i="6"/>
  <c r="B28" i="6"/>
  <c r="B27" i="6"/>
  <c r="B26" i="6"/>
  <c r="B25" i="6"/>
  <c r="B24" i="6"/>
  <c r="Q30" i="6"/>
  <c r="Q29" i="6"/>
  <c r="Q28" i="6"/>
  <c r="Q27" i="6"/>
  <c r="Q26" i="6"/>
  <c r="Q25" i="6"/>
  <c r="C23" i="6"/>
  <c r="D23" i="6"/>
  <c r="E23" i="6"/>
  <c r="F23" i="6"/>
  <c r="G23" i="6"/>
  <c r="A8" i="4" l="1"/>
  <c r="D7" i="4"/>
  <c r="B27" i="13"/>
  <c r="B15" i="13"/>
  <c r="B29" i="13"/>
  <c r="B26" i="13"/>
  <c r="B14" i="13"/>
  <c r="B17" i="13"/>
  <c r="B13" i="13"/>
  <c r="B16" i="13"/>
  <c r="B25" i="13"/>
  <c r="B24" i="13"/>
  <c r="B12" i="13"/>
  <c r="B23" i="13"/>
  <c r="B11" i="13"/>
  <c r="B8" i="13"/>
  <c r="B5" i="13"/>
  <c r="B19" i="13"/>
  <c r="B7" i="13"/>
  <c r="B28" i="13"/>
  <c r="B22" i="13"/>
  <c r="B10" i="13"/>
  <c r="B21" i="13"/>
  <c r="B9" i="13"/>
  <c r="B20" i="13"/>
  <c r="B30" i="13"/>
  <c r="B18" i="13"/>
  <c r="B25" i="4"/>
  <c r="B26" i="4"/>
  <c r="B27" i="4"/>
  <c r="B28" i="4"/>
  <c r="B29" i="4"/>
  <c r="B30" i="4"/>
  <c r="F25" i="2"/>
  <c r="E25" i="2"/>
  <c r="A24" i="6"/>
  <c r="A25" i="6" s="1"/>
  <c r="A26" i="6" s="1"/>
  <c r="A27" i="6" s="1"/>
  <c r="A28" i="6" s="1"/>
  <c r="A29" i="6" s="1"/>
  <c r="A9" i="4" l="1"/>
  <c r="D8" i="4"/>
  <c r="E35" i="3"/>
  <c r="B23" i="4"/>
  <c r="B24" i="4"/>
  <c r="B22" i="4"/>
  <c r="B9" i="4"/>
  <c r="B10" i="4"/>
  <c r="B11" i="4"/>
  <c r="B12" i="4"/>
  <c r="B13" i="4"/>
  <c r="B14" i="4"/>
  <c r="B15" i="4"/>
  <c r="B16" i="4"/>
  <c r="B17" i="4"/>
  <c r="B18" i="4"/>
  <c r="B19" i="4"/>
  <c r="B20" i="4"/>
  <c r="B21" i="4"/>
  <c r="Q4" i="22"/>
  <c r="Q7" i="22" s="1"/>
  <c r="Q10" i="22" s="1"/>
  <c r="C2" i="22"/>
  <c r="A10" i="4" l="1"/>
  <c r="D9" i="4"/>
  <c r="B6" i="3"/>
  <c r="B18" i="3"/>
  <c r="B30" i="3"/>
  <c r="B9" i="3"/>
  <c r="B23" i="3"/>
  <c r="B25" i="3"/>
  <c r="B27" i="3"/>
  <c r="B29" i="3"/>
  <c r="B7" i="3"/>
  <c r="B19" i="3"/>
  <c r="B5" i="3"/>
  <c r="B21" i="3"/>
  <c r="B22" i="3"/>
  <c r="B24" i="3"/>
  <c r="B26" i="3"/>
  <c r="B28" i="3"/>
  <c r="B8" i="3"/>
  <c r="B20" i="3"/>
  <c r="B10" i="3"/>
  <c r="B11" i="3"/>
  <c r="B12" i="3"/>
  <c r="B13" i="3"/>
  <c r="B14" i="3"/>
  <c r="B15" i="3"/>
  <c r="B16" i="3"/>
  <c r="B17" i="3"/>
  <c r="S10" i="22"/>
  <c r="E3" i="22"/>
  <c r="F3" i="22" s="1"/>
  <c r="P10" i="22"/>
  <c r="R10" i="22" s="1"/>
  <c r="A11" i="4" l="1"/>
  <c r="D10" i="4"/>
  <c r="H4" i="22"/>
  <c r="H3" i="22"/>
  <c r="H33" i="7" s="1"/>
  <c r="J6" i="7" l="1"/>
  <c r="J27" i="7"/>
  <c r="J28" i="7"/>
  <c r="J30" i="7"/>
  <c r="J29" i="7"/>
  <c r="J31" i="7"/>
  <c r="J26" i="7"/>
  <c r="R11" i="7"/>
  <c r="R17" i="7"/>
  <c r="R12" i="7"/>
  <c r="R15" i="7"/>
  <c r="R31" i="7"/>
  <c r="R14" i="7"/>
  <c r="R23" i="7"/>
  <c r="R27" i="7"/>
  <c r="R26" i="7"/>
  <c r="R22" i="7"/>
  <c r="R19" i="7"/>
  <c r="R28" i="7"/>
  <c r="R13" i="7"/>
  <c r="R10" i="7"/>
  <c r="R20" i="7"/>
  <c r="R6" i="7"/>
  <c r="R29" i="7"/>
  <c r="R9" i="7"/>
  <c r="R16" i="7"/>
  <c r="R8" i="7"/>
  <c r="R25" i="7"/>
  <c r="R7" i="7"/>
  <c r="R18" i="7"/>
  <c r="R24" i="7"/>
  <c r="R30" i="7"/>
  <c r="R21" i="7"/>
  <c r="A12" i="4"/>
  <c r="D11" i="4"/>
  <c r="N26" i="7"/>
  <c r="N27" i="7"/>
  <c r="N28" i="7"/>
  <c r="N29" i="7"/>
  <c r="N30" i="7"/>
  <c r="N31" i="7"/>
  <c r="N23" i="7"/>
  <c r="N11" i="7"/>
  <c r="N9" i="7"/>
  <c r="N8" i="7"/>
  <c r="N19" i="7"/>
  <c r="N6" i="7"/>
  <c r="N22" i="7"/>
  <c r="N10" i="7"/>
  <c r="N21" i="7"/>
  <c r="N20" i="7"/>
  <c r="N7" i="7"/>
  <c r="N18" i="7"/>
  <c r="N17" i="7"/>
  <c r="N16" i="7"/>
  <c r="N14" i="7"/>
  <c r="N13" i="7"/>
  <c r="N15" i="7"/>
  <c r="N24" i="7"/>
  <c r="N12" i="7"/>
  <c r="N25" i="7"/>
  <c r="B5" i="6"/>
  <c r="B6" i="6"/>
  <c r="B7" i="6"/>
  <c r="B8" i="6"/>
  <c r="B9" i="6"/>
  <c r="B10" i="6"/>
  <c r="B11" i="6"/>
  <c r="B12" i="6"/>
  <c r="B13" i="6"/>
  <c r="B14" i="6"/>
  <c r="B15" i="6"/>
  <c r="B16" i="6"/>
  <c r="B17" i="6"/>
  <c r="B18" i="6"/>
  <c r="B19" i="6"/>
  <c r="B20" i="6"/>
  <c r="B21" i="6"/>
  <c r="B22" i="6"/>
  <c r="B23" i="6"/>
  <c r="B4" i="6"/>
  <c r="B31" i="7" l="1"/>
  <c r="C31" i="7"/>
  <c r="D31" i="7" s="1"/>
  <c r="B6" i="7"/>
  <c r="C6" i="7"/>
  <c r="B12" i="7"/>
  <c r="C12" i="7"/>
  <c r="C17" i="7"/>
  <c r="B17" i="7"/>
  <c r="C13" i="7"/>
  <c r="B13" i="7"/>
  <c r="B24" i="7"/>
  <c r="C24" i="7"/>
  <c r="B18" i="7"/>
  <c r="C18" i="7"/>
  <c r="D18" i="7" s="1"/>
  <c r="B7" i="7"/>
  <c r="C7" i="7"/>
  <c r="C29" i="7"/>
  <c r="B29" i="7"/>
  <c r="D29" i="7" s="1"/>
  <c r="B15" i="7"/>
  <c r="C15" i="7"/>
  <c r="C20" i="7"/>
  <c r="B20" i="7"/>
  <c r="C21" i="7"/>
  <c r="B21" i="7"/>
  <c r="D21" i="7" s="1"/>
  <c r="C10" i="7"/>
  <c r="B10" i="7"/>
  <c r="D10" i="7" s="1"/>
  <c r="B30" i="7"/>
  <c r="C30" i="7"/>
  <c r="D30" i="7" s="1"/>
  <c r="B11" i="7"/>
  <c r="C11" i="7"/>
  <c r="D11" i="7" s="1"/>
  <c r="B28" i="7"/>
  <c r="C28" i="7"/>
  <c r="B19" i="7"/>
  <c r="C19" i="7"/>
  <c r="C22" i="7"/>
  <c r="B22" i="7"/>
  <c r="D22" i="7" s="1"/>
  <c r="C25" i="7"/>
  <c r="B25" i="7"/>
  <c r="D25" i="7" s="1"/>
  <c r="B26" i="7"/>
  <c r="C26" i="7"/>
  <c r="D26" i="7" s="1"/>
  <c r="B8" i="7"/>
  <c r="C8" i="7"/>
  <c r="B27" i="7"/>
  <c r="C27" i="7"/>
  <c r="B16" i="7"/>
  <c r="C16" i="7"/>
  <c r="C23" i="7"/>
  <c r="B23" i="7"/>
  <c r="D23" i="7" s="1"/>
  <c r="C9" i="7"/>
  <c r="B9" i="7"/>
  <c r="D9" i="7" s="1"/>
  <c r="C14" i="7"/>
  <c r="B14" i="7"/>
  <c r="D14" i="7" s="1"/>
  <c r="A13" i="4"/>
  <c r="D12" i="4"/>
  <c r="A6" i="7"/>
  <c r="C4" i="6"/>
  <c r="D4" i="6"/>
  <c r="E4" i="6"/>
  <c r="F4" i="6"/>
  <c r="G4" i="6"/>
  <c r="H4" i="6"/>
  <c r="C5" i="6"/>
  <c r="D5" i="6"/>
  <c r="E5" i="6"/>
  <c r="F5" i="6"/>
  <c r="G5" i="6"/>
  <c r="H5" i="6"/>
  <c r="C6" i="6"/>
  <c r="D6" i="6"/>
  <c r="E6" i="6"/>
  <c r="F6" i="6"/>
  <c r="G6" i="6"/>
  <c r="H6" i="6"/>
  <c r="C7" i="6"/>
  <c r="D7" i="6"/>
  <c r="E7" i="6"/>
  <c r="F7" i="6"/>
  <c r="G7" i="6"/>
  <c r="H7" i="6"/>
  <c r="C8" i="6"/>
  <c r="D8" i="6"/>
  <c r="E8" i="6"/>
  <c r="F8" i="6"/>
  <c r="G8" i="6"/>
  <c r="H8" i="6"/>
  <c r="C9" i="6"/>
  <c r="D9" i="6"/>
  <c r="E9" i="6"/>
  <c r="F9" i="6"/>
  <c r="G9" i="6"/>
  <c r="H9" i="6"/>
  <c r="C10" i="6"/>
  <c r="D10" i="6"/>
  <c r="E10" i="6"/>
  <c r="F10" i="6"/>
  <c r="G10" i="6"/>
  <c r="H10" i="6"/>
  <c r="C11" i="6"/>
  <c r="D11" i="6"/>
  <c r="E11" i="6"/>
  <c r="F11" i="6"/>
  <c r="G11" i="6"/>
  <c r="H11" i="6"/>
  <c r="C12" i="6"/>
  <c r="D12" i="6"/>
  <c r="E12" i="6"/>
  <c r="F12" i="6"/>
  <c r="G12" i="6"/>
  <c r="H12" i="6"/>
  <c r="C13" i="6"/>
  <c r="D13" i="6"/>
  <c r="E13" i="6"/>
  <c r="F13" i="6"/>
  <c r="G13" i="6"/>
  <c r="H13" i="6"/>
  <c r="C14" i="6"/>
  <c r="D14" i="6"/>
  <c r="E14" i="6"/>
  <c r="F14" i="6"/>
  <c r="G14" i="6"/>
  <c r="H14" i="6"/>
  <c r="C15" i="6"/>
  <c r="D15" i="6"/>
  <c r="E15" i="6"/>
  <c r="F15" i="6"/>
  <c r="G15" i="6"/>
  <c r="H15" i="6"/>
  <c r="C16" i="6"/>
  <c r="D16" i="6"/>
  <c r="E16" i="6"/>
  <c r="F16" i="6"/>
  <c r="G16" i="6"/>
  <c r="H16" i="6"/>
  <c r="C17" i="6"/>
  <c r="D17" i="6"/>
  <c r="E17" i="6"/>
  <c r="F17" i="6"/>
  <c r="G17" i="6"/>
  <c r="H17" i="6"/>
  <c r="C18" i="6"/>
  <c r="D18" i="6"/>
  <c r="E18" i="6"/>
  <c r="F18" i="6"/>
  <c r="G18" i="6"/>
  <c r="H18" i="6"/>
  <c r="C19" i="6"/>
  <c r="D19" i="6"/>
  <c r="E19" i="6"/>
  <c r="F19" i="6"/>
  <c r="G19" i="6"/>
  <c r="H19" i="6"/>
  <c r="C20" i="6"/>
  <c r="D20" i="6"/>
  <c r="E20" i="6"/>
  <c r="F20" i="6"/>
  <c r="G20" i="6"/>
  <c r="H20" i="6"/>
  <c r="C21" i="6"/>
  <c r="D21" i="6"/>
  <c r="E21" i="6"/>
  <c r="F21" i="6"/>
  <c r="G21" i="6"/>
  <c r="H21" i="6"/>
  <c r="C22" i="6"/>
  <c r="D22" i="6"/>
  <c r="E22" i="6"/>
  <c r="F22" i="6"/>
  <c r="G22" i="6"/>
  <c r="H22" i="6"/>
  <c r="H23" i="6"/>
  <c r="A4" i="6"/>
  <c r="A5" i="6" s="1"/>
  <c r="A5" i="3"/>
  <c r="A5" i="13"/>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5" i="2"/>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B3" i="20"/>
  <c r="B4" i="20" s="1"/>
  <c r="D28" i="7" l="1"/>
  <c r="D15" i="7"/>
  <c r="D17" i="7"/>
  <c r="D16" i="7"/>
  <c r="D20" i="7"/>
  <c r="D13" i="7"/>
  <c r="D24" i="7"/>
  <c r="D27" i="7"/>
  <c r="D12" i="7"/>
  <c r="D7" i="7"/>
  <c r="D6" i="7"/>
  <c r="D19" i="7"/>
  <c r="D8" i="7"/>
  <c r="A14" i="4"/>
  <c r="D13" i="4"/>
  <c r="B29" i="2"/>
  <c r="B26" i="2"/>
  <c r="B27" i="2"/>
  <c r="B30" i="2"/>
  <c r="B25" i="2"/>
  <c r="B24" i="2"/>
  <c r="B5" i="20"/>
  <c r="K4" i="20"/>
  <c r="Q6" i="6"/>
  <c r="Y6" i="6" s="1"/>
  <c r="A6" i="6"/>
  <c r="Q5" i="6"/>
  <c r="Y5" i="6" s="1"/>
  <c r="A5" i="8"/>
  <c r="H6" i="7"/>
  <c r="A6" i="1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6" i="10"/>
  <c r="K3" i="20"/>
  <c r="A7" i="7"/>
  <c r="A6" i="3"/>
  <c r="A7" i="3" s="1"/>
  <c r="A15" i="4" l="1"/>
  <c r="D14" i="4"/>
  <c r="A6" i="8"/>
  <c r="H7" i="7"/>
  <c r="A8" i="7"/>
  <c r="A7" i="6"/>
  <c r="Q7" i="6"/>
  <c r="Y7" i="6" s="1"/>
  <c r="A5" i="9"/>
  <c r="A7" i="10"/>
  <c r="B6" i="20"/>
  <c r="K5" i="20"/>
  <c r="A8" i="3"/>
  <c r="A16" i="4" l="1"/>
  <c r="D15" i="4"/>
  <c r="B7" i="20"/>
  <c r="K6" i="20"/>
  <c r="A8" i="6"/>
  <c r="Q8" i="6"/>
  <c r="Y8" i="6" s="1"/>
  <c r="A8" i="10"/>
  <c r="A6" i="9"/>
  <c r="A9" i="7"/>
  <c r="A7" i="8"/>
  <c r="H8" i="7"/>
  <c r="A9" i="3"/>
  <c r="J7" i="7"/>
  <c r="J8" i="7"/>
  <c r="J9" i="7"/>
  <c r="J10" i="7"/>
  <c r="J11" i="7"/>
  <c r="J12" i="7"/>
  <c r="J13" i="7"/>
  <c r="J14" i="7"/>
  <c r="J15" i="7"/>
  <c r="J16" i="7"/>
  <c r="J17" i="7"/>
  <c r="J18" i="7"/>
  <c r="J19" i="7"/>
  <c r="J20" i="7"/>
  <c r="J21" i="7"/>
  <c r="J22" i="7"/>
  <c r="J23" i="7"/>
  <c r="J24" i="7"/>
  <c r="J25" i="7"/>
  <c r="A17" i="4" l="1"/>
  <c r="D16" i="4"/>
  <c r="A10" i="7"/>
  <c r="H9" i="7"/>
  <c r="A8" i="8"/>
  <c r="A9" i="10"/>
  <c r="A7" i="9"/>
  <c r="A9" i="6"/>
  <c r="Q9" i="6"/>
  <c r="Y9" i="6" s="1"/>
  <c r="B8" i="20"/>
  <c r="K7" i="20"/>
  <c r="A10" i="3"/>
  <c r="A18" i="4" l="1"/>
  <c r="D17" i="4"/>
  <c r="A10" i="6"/>
  <c r="Q10" i="6"/>
  <c r="Y10" i="6" s="1"/>
  <c r="B9" i="20"/>
  <c r="K8" i="20"/>
  <c r="A10" i="10"/>
  <c r="A8" i="9"/>
  <c r="A11" i="7"/>
  <c r="A9" i="8"/>
  <c r="H10" i="7"/>
  <c r="A11" i="3"/>
  <c r="A19" i="4" l="1"/>
  <c r="D18" i="4"/>
  <c r="A12" i="7"/>
  <c r="A10" i="8"/>
  <c r="H11" i="7"/>
  <c r="A11" i="10"/>
  <c r="A9" i="9"/>
  <c r="B10" i="20"/>
  <c r="K9" i="20"/>
  <c r="A11" i="6"/>
  <c r="Q11" i="6"/>
  <c r="Y11" i="6" s="1"/>
  <c r="A12" i="3"/>
  <c r="A20" i="4" l="1"/>
  <c r="D19" i="4"/>
  <c r="A12" i="6"/>
  <c r="Q12" i="6"/>
  <c r="Y12" i="6" s="1"/>
  <c r="B11" i="20"/>
  <c r="K10" i="20"/>
  <c r="A12" i="10"/>
  <c r="A10" i="9"/>
  <c r="A13" i="7"/>
  <c r="A11" i="8"/>
  <c r="H12" i="7"/>
  <c r="A13" i="3"/>
  <c r="A21" i="4" l="1"/>
  <c r="D20" i="4"/>
  <c r="A14" i="7"/>
  <c r="A12" i="8"/>
  <c r="H13" i="7"/>
  <c r="B12" i="20"/>
  <c r="K11" i="20"/>
  <c r="A13" i="10"/>
  <c r="A11" i="9"/>
  <c r="A13" i="6"/>
  <c r="Q13" i="6"/>
  <c r="Y13" i="6" s="1"/>
  <c r="A14" i="3"/>
  <c r="A22" i="4" l="1"/>
  <c r="D21" i="4"/>
  <c r="A14" i="6"/>
  <c r="Q14" i="6"/>
  <c r="Y14" i="6" s="1"/>
  <c r="A14" i="10"/>
  <c r="A12" i="9"/>
  <c r="B13" i="20"/>
  <c r="K12" i="20"/>
  <c r="A15" i="7"/>
  <c r="A13" i="8"/>
  <c r="H14" i="7"/>
  <c r="A15" i="3"/>
  <c r="A23" i="4" l="1"/>
  <c r="D22" i="4"/>
  <c r="A16" i="7"/>
  <c r="H15" i="7"/>
  <c r="A14" i="8"/>
  <c r="A15" i="10"/>
  <c r="A13" i="9"/>
  <c r="B14" i="20"/>
  <c r="K13" i="20"/>
  <c r="A15" i="6"/>
  <c r="Q15" i="6"/>
  <c r="Y15" i="6" s="1"/>
  <c r="A16" i="3"/>
  <c r="B6" i="8"/>
  <c r="B7" i="8"/>
  <c r="B8" i="8"/>
  <c r="B9" i="8"/>
  <c r="B10" i="8"/>
  <c r="B11" i="8"/>
  <c r="B12" i="8"/>
  <c r="B13" i="8"/>
  <c r="B14" i="8"/>
  <c r="B15" i="8"/>
  <c r="B16" i="8"/>
  <c r="B17" i="8"/>
  <c r="B18" i="8"/>
  <c r="B19" i="8"/>
  <c r="B20" i="8"/>
  <c r="B21" i="8"/>
  <c r="B22" i="8"/>
  <c r="B23" i="8"/>
  <c r="B24" i="8"/>
  <c r="B5" i="8"/>
  <c r="A24" i="4" l="1"/>
  <c r="D23" i="4"/>
  <c r="A16" i="10"/>
  <c r="A14" i="9"/>
  <c r="B15" i="20"/>
  <c r="K14" i="20"/>
  <c r="A16" i="6"/>
  <c r="Q16" i="6"/>
  <c r="Y16" i="6" s="1"/>
  <c r="A17" i="7"/>
  <c r="A15" i="8"/>
  <c r="H16" i="7"/>
  <c r="A17" i="3"/>
  <c r="A25" i="4" l="1"/>
  <c r="D24" i="4"/>
  <c r="A18" i="7"/>
  <c r="H17" i="7"/>
  <c r="A16" i="8"/>
  <c r="B16" i="20"/>
  <c r="K15" i="20"/>
  <c r="A17" i="6"/>
  <c r="Q17" i="6"/>
  <c r="Y17" i="6" s="1"/>
  <c r="A17" i="10"/>
  <c r="A15" i="9"/>
  <c r="A18" i="3"/>
  <c r="A26" i="4" l="1"/>
  <c r="D25" i="4"/>
  <c r="A18" i="10"/>
  <c r="A16" i="9"/>
  <c r="A18" i="6"/>
  <c r="Q18" i="6"/>
  <c r="Y18" i="6" s="1"/>
  <c r="B17" i="20"/>
  <c r="K16" i="20"/>
  <c r="A19" i="7"/>
  <c r="A17" i="8"/>
  <c r="H18" i="7"/>
  <c r="A19" i="3"/>
  <c r="E7" i="2"/>
  <c r="F7" i="2"/>
  <c r="E8" i="2"/>
  <c r="F8" i="2"/>
  <c r="E9" i="2"/>
  <c r="F9" i="2"/>
  <c r="E10" i="2"/>
  <c r="F10" i="2"/>
  <c r="E11" i="2"/>
  <c r="F11" i="2"/>
  <c r="E12" i="2"/>
  <c r="F12" i="2"/>
  <c r="E13" i="2"/>
  <c r="F13" i="2"/>
  <c r="E14" i="2"/>
  <c r="F14" i="2"/>
  <c r="E15" i="2"/>
  <c r="F15" i="2"/>
  <c r="E16" i="2"/>
  <c r="F16" i="2"/>
  <c r="E17" i="2"/>
  <c r="F17" i="2"/>
  <c r="E18" i="2"/>
  <c r="F18" i="2"/>
  <c r="E19" i="2"/>
  <c r="F19" i="2"/>
  <c r="E20" i="2"/>
  <c r="F20" i="2"/>
  <c r="E21" i="2"/>
  <c r="F21" i="2"/>
  <c r="E22" i="2"/>
  <c r="F22" i="2"/>
  <c r="E23" i="2"/>
  <c r="F23" i="2"/>
  <c r="E24" i="2"/>
  <c r="F24" i="2"/>
  <c r="B28" i="2"/>
  <c r="F6" i="2"/>
  <c r="E6" i="2"/>
  <c r="F5" i="2"/>
  <c r="E5" i="2"/>
  <c r="A27" i="4" l="1"/>
  <c r="D26" i="4"/>
  <c r="A19" i="6"/>
  <c r="Q19" i="6"/>
  <c r="Y19" i="6" s="1"/>
  <c r="A19" i="10"/>
  <c r="A17" i="9"/>
  <c r="A20" i="7"/>
  <c r="A18" i="8"/>
  <c r="H19" i="7"/>
  <c r="B18" i="20"/>
  <c r="K17" i="20"/>
  <c r="A20" i="3"/>
  <c r="B22" i="2"/>
  <c r="B20" i="2"/>
  <c r="B18" i="2"/>
  <c r="B16" i="2"/>
  <c r="B14" i="2"/>
  <c r="B12" i="2"/>
  <c r="B10" i="2"/>
  <c r="B8" i="2"/>
  <c r="B23" i="2"/>
  <c r="B21" i="2"/>
  <c r="B19" i="2"/>
  <c r="B17" i="2"/>
  <c r="B15" i="2"/>
  <c r="B13" i="2"/>
  <c r="B11" i="2"/>
  <c r="B9" i="2"/>
  <c r="B7" i="2"/>
  <c r="B6" i="2"/>
  <c r="B5" i="2"/>
  <c r="A28" i="4" l="1"/>
  <c r="D27" i="4"/>
  <c r="F17" i="20"/>
  <c r="G17" i="20"/>
  <c r="F3" i="20"/>
  <c r="O3" i="20" s="1"/>
  <c r="G8" i="20"/>
  <c r="F10" i="20"/>
  <c r="G11" i="20"/>
  <c r="F5" i="20"/>
  <c r="G7" i="20"/>
  <c r="F9" i="20"/>
  <c r="G4" i="20"/>
  <c r="F6" i="20"/>
  <c r="F12" i="20"/>
  <c r="G13" i="20"/>
  <c r="G14" i="20"/>
  <c r="G15" i="20"/>
  <c r="G16" i="20"/>
  <c r="B19" i="20"/>
  <c r="K18" i="20"/>
  <c r="A21" i="7"/>
  <c r="A19" i="8"/>
  <c r="H20" i="7"/>
  <c r="A20" i="10"/>
  <c r="A18" i="9"/>
  <c r="A20" i="6"/>
  <c r="Q20" i="6"/>
  <c r="Y20" i="6" s="1"/>
  <c r="A21" i="3"/>
  <c r="F18" i="20"/>
  <c r="A29" i="4" l="1"/>
  <c r="D28" i="4"/>
  <c r="F11" i="20"/>
  <c r="O11" i="20" s="1"/>
  <c r="F14" i="20"/>
  <c r="O14" i="20" s="1"/>
  <c r="F8" i="20"/>
  <c r="O8" i="20" s="1"/>
  <c r="F16" i="20"/>
  <c r="O16" i="20" s="1"/>
  <c r="G6" i="20"/>
  <c r="P6" i="20" s="1"/>
  <c r="G18" i="20"/>
  <c r="P18" i="20" s="1"/>
  <c r="G12" i="20"/>
  <c r="P12" i="20" s="1"/>
  <c r="G3" i="20"/>
  <c r="P3" i="20" s="1"/>
  <c r="F4" i="20"/>
  <c r="O4" i="20" s="1"/>
  <c r="C10" i="20"/>
  <c r="L10" i="20" s="1"/>
  <c r="C4" i="20"/>
  <c r="L4" i="20" s="1"/>
  <c r="G10" i="20"/>
  <c r="P10" i="20" s="1"/>
  <c r="G9" i="20"/>
  <c r="P9" i="20" s="1"/>
  <c r="G5" i="20"/>
  <c r="P5" i="20" s="1"/>
  <c r="F15" i="20"/>
  <c r="O15" i="20" s="1"/>
  <c r="F13" i="20"/>
  <c r="O13" i="20" s="1"/>
  <c r="F7" i="20"/>
  <c r="O7" i="20" s="1"/>
  <c r="C16" i="20"/>
  <c r="L16" i="20" s="1"/>
  <c r="A22" i="7"/>
  <c r="A20" i="8"/>
  <c r="H21" i="7"/>
  <c r="B20" i="20"/>
  <c r="K19" i="20"/>
  <c r="A21" i="6"/>
  <c r="Q21" i="6"/>
  <c r="Y21" i="6" s="1"/>
  <c r="A21" i="10"/>
  <c r="A19" i="9"/>
  <c r="F19" i="20"/>
  <c r="A22" i="3"/>
  <c r="O5" i="20"/>
  <c r="O18" i="20"/>
  <c r="P4" i="20"/>
  <c r="O10" i="20"/>
  <c r="O6" i="20"/>
  <c r="P14" i="20"/>
  <c r="P16" i="20"/>
  <c r="P15" i="20"/>
  <c r="P7" i="20"/>
  <c r="P17" i="20"/>
  <c r="O17" i="20"/>
  <c r="O9" i="20"/>
  <c r="P13" i="20"/>
  <c r="P11" i="20"/>
  <c r="P8" i="20"/>
  <c r="O12" i="20"/>
  <c r="A30" i="4" l="1"/>
  <c r="D30" i="4" s="1"/>
  <c r="D29" i="4"/>
  <c r="G19" i="20"/>
  <c r="P19" i="20" s="1"/>
  <c r="A22" i="6"/>
  <c r="Q22" i="6"/>
  <c r="Y22" i="6" s="1"/>
  <c r="A22" i="10"/>
  <c r="A20" i="9"/>
  <c r="B21" i="20"/>
  <c r="K20" i="20"/>
  <c r="A23" i="7"/>
  <c r="A21" i="8"/>
  <c r="H22" i="7"/>
  <c r="O19" i="20"/>
  <c r="A23" i="3"/>
  <c r="G20" i="20"/>
  <c r="F20" i="20" l="1"/>
  <c r="O20" i="20" s="1"/>
  <c r="A24" i="7"/>
  <c r="A22" i="8"/>
  <c r="H23" i="7"/>
  <c r="A23" i="6"/>
  <c r="Q24" i="6" s="1"/>
  <c r="Y24" i="6" s="1"/>
  <c r="Q23" i="6"/>
  <c r="Y23" i="6" s="1"/>
  <c r="P20" i="20"/>
  <c r="B22" i="20"/>
  <c r="K21" i="20"/>
  <c r="A23" i="10"/>
  <c r="A21" i="9"/>
  <c r="C21" i="20"/>
  <c r="A24" i="3"/>
  <c r="F22" i="20" l="1"/>
  <c r="F23" i="20" s="1"/>
  <c r="F24" i="20" s="1"/>
  <c r="F25" i="20" s="1"/>
  <c r="F26" i="20" s="1"/>
  <c r="F27" i="20" s="1"/>
  <c r="F28" i="20" s="1"/>
  <c r="F29" i="20" s="1"/>
  <c r="F30" i="20" s="1"/>
  <c r="F31" i="20" s="1"/>
  <c r="F32" i="20" s="1"/>
  <c r="F33" i="20" s="1"/>
  <c r="F34" i="20" s="1"/>
  <c r="F35" i="20" s="1"/>
  <c r="F36" i="20" s="1"/>
  <c r="F37" i="20" s="1"/>
  <c r="F38" i="20" s="1"/>
  <c r="F39" i="20" s="1"/>
  <c r="F40" i="20" s="1"/>
  <c r="F41" i="20" s="1"/>
  <c r="F42" i="20" s="1"/>
  <c r="F43" i="20" s="1"/>
  <c r="F44" i="20" s="1"/>
  <c r="F45" i="20" s="1"/>
  <c r="F46" i="20" s="1"/>
  <c r="F47" i="20" s="1"/>
  <c r="F48" i="20" s="1"/>
  <c r="A25" i="3"/>
  <c r="D21" i="20"/>
  <c r="M21" i="20" s="1"/>
  <c r="F21" i="20"/>
  <c r="O21" i="20" s="1"/>
  <c r="G21" i="20"/>
  <c r="P21" i="20" s="1"/>
  <c r="A24" i="10"/>
  <c r="A22" i="9"/>
  <c r="B23" i="20"/>
  <c r="K22" i="20"/>
  <c r="L21" i="20"/>
  <c r="A25" i="7"/>
  <c r="A26" i="7" s="1"/>
  <c r="A25" i="8" s="1"/>
  <c r="A23" i="8"/>
  <c r="H24" i="7"/>
  <c r="A27" i="7" l="1"/>
  <c r="A26" i="8" s="1"/>
  <c r="H26" i="7"/>
  <c r="G22" i="20"/>
  <c r="G23" i="20" s="1"/>
  <c r="G24" i="20" s="1"/>
  <c r="G25" i="20" s="1"/>
  <c r="G26" i="20" s="1"/>
  <c r="G27" i="20" s="1"/>
  <c r="G28" i="20" s="1"/>
  <c r="G29" i="20" s="1"/>
  <c r="G30" i="20" s="1"/>
  <c r="G31" i="20" s="1"/>
  <c r="G32" i="20" s="1"/>
  <c r="G33" i="20" s="1"/>
  <c r="G34" i="20" s="1"/>
  <c r="G35" i="20" s="1"/>
  <c r="G36" i="20" s="1"/>
  <c r="G37" i="20" s="1"/>
  <c r="G38" i="20" s="1"/>
  <c r="G39" i="20" s="1"/>
  <c r="G40" i="20" s="1"/>
  <c r="G41" i="20" s="1"/>
  <c r="G42" i="20" s="1"/>
  <c r="G43" i="20" s="1"/>
  <c r="G44" i="20" s="1"/>
  <c r="G45" i="20" s="1"/>
  <c r="G46" i="20" s="1"/>
  <c r="G47" i="20" s="1"/>
  <c r="G48" i="20" s="1"/>
  <c r="A26" i="3"/>
  <c r="B24" i="20"/>
  <c r="K23" i="20"/>
  <c r="H25" i="7"/>
  <c r="A24" i="8"/>
  <c r="A25" i="10"/>
  <c r="A23" i="9"/>
  <c r="O22" i="20"/>
  <c r="H27" i="7" l="1"/>
  <c r="A28" i="7"/>
  <c r="A27" i="8" s="1"/>
  <c r="A24" i="9"/>
  <c r="A26" i="10"/>
  <c r="P22" i="20"/>
  <c r="A27" i="3"/>
  <c r="B25" i="20"/>
  <c r="K24" i="20"/>
  <c r="O23" i="20"/>
  <c r="P23" i="20"/>
  <c r="A27" i="10" l="1"/>
  <c r="A25" i="9"/>
  <c r="A29" i="7"/>
  <c r="A28" i="8" s="1"/>
  <c r="H28" i="7"/>
  <c r="A28" i="3"/>
  <c r="B26" i="20"/>
  <c r="K25" i="20"/>
  <c r="P24" i="20"/>
  <c r="O24" i="20"/>
  <c r="A28" i="10" l="1"/>
  <c r="A26" i="9"/>
  <c r="H29" i="7"/>
  <c r="A30" i="7"/>
  <c r="A29" i="8" s="1"/>
  <c r="A29" i="3"/>
  <c r="B27" i="20"/>
  <c r="K26" i="20"/>
  <c r="P25" i="20"/>
  <c r="O25" i="20"/>
  <c r="A29" i="10" l="1"/>
  <c r="A27" i="9"/>
  <c r="H30" i="7"/>
  <c r="A31" i="7"/>
  <c r="A30" i="3"/>
  <c r="B28" i="20"/>
  <c r="K27" i="20"/>
  <c r="P26" i="20"/>
  <c r="O26" i="20"/>
  <c r="A30" i="10" l="1"/>
  <c r="A28" i="9"/>
  <c r="H31" i="7"/>
  <c r="A30" i="8"/>
  <c r="B29" i="20"/>
  <c r="K28" i="20"/>
  <c r="P27" i="20"/>
  <c r="O27" i="20"/>
  <c r="A31" i="10" l="1"/>
  <c r="A30" i="9" s="1"/>
  <c r="A29" i="9"/>
  <c r="B30" i="20"/>
  <c r="K29" i="20"/>
  <c r="O28" i="20"/>
  <c r="P28" i="20"/>
  <c r="B31" i="20" l="1"/>
  <c r="K30" i="20"/>
  <c r="O29" i="20"/>
  <c r="P29" i="20"/>
  <c r="B32" i="20" l="1"/>
  <c r="K31" i="20"/>
  <c r="P30" i="20"/>
  <c r="O30" i="20"/>
  <c r="B33" i="20" l="1"/>
  <c r="K32" i="20"/>
  <c r="O31" i="20"/>
  <c r="P31" i="20"/>
  <c r="B34" i="20" l="1"/>
  <c r="K33" i="20"/>
  <c r="P32" i="20"/>
  <c r="O32" i="20"/>
  <c r="B35" i="20" l="1"/>
  <c r="K34" i="20"/>
  <c r="O33" i="20"/>
  <c r="P33" i="20"/>
  <c r="B36" i="20" l="1"/>
  <c r="K35" i="20"/>
  <c r="O34" i="20"/>
  <c r="P34" i="20"/>
  <c r="B37" i="20" l="1"/>
  <c r="K36" i="20"/>
  <c r="O35" i="20"/>
  <c r="P35" i="20"/>
  <c r="B38" i="20" l="1"/>
  <c r="K37" i="20"/>
  <c r="P36" i="20"/>
  <c r="O36" i="20"/>
  <c r="B39" i="20" l="1"/>
  <c r="K38" i="20"/>
  <c r="O37" i="20"/>
  <c r="P37" i="20"/>
  <c r="B40" i="20" l="1"/>
  <c r="K39" i="20"/>
  <c r="P38" i="20"/>
  <c r="O38" i="20"/>
  <c r="B41" i="20" l="1"/>
  <c r="K40" i="20"/>
  <c r="P39" i="20"/>
  <c r="O39" i="20"/>
  <c r="B42" i="20" l="1"/>
  <c r="K41" i="20"/>
  <c r="O40" i="20"/>
  <c r="P40" i="20"/>
  <c r="B43" i="20" l="1"/>
  <c r="K42" i="20"/>
  <c r="P41" i="20"/>
  <c r="O41" i="20"/>
  <c r="B44" i="20" l="1"/>
  <c r="K43" i="20"/>
  <c r="O42" i="20"/>
  <c r="P42" i="20"/>
  <c r="B45" i="20" l="1"/>
  <c r="K44" i="20"/>
  <c r="P43" i="20"/>
  <c r="O43" i="20"/>
  <c r="B46" i="20" l="1"/>
  <c r="K45" i="20"/>
  <c r="P44" i="20"/>
  <c r="O44" i="20"/>
  <c r="B47" i="20" l="1"/>
  <c r="K46" i="20"/>
  <c r="P45" i="20"/>
  <c r="O45" i="20"/>
  <c r="B48" i="20" l="1"/>
  <c r="K48" i="20" s="1"/>
  <c r="K47" i="20"/>
  <c r="P46" i="20"/>
  <c r="O46" i="20"/>
  <c r="O47" i="20" l="1"/>
  <c r="O48" i="20"/>
  <c r="P47" i="20"/>
  <c r="P48" i="20"/>
  <c r="E3" i="20" l="1"/>
  <c r="N3" i="20" l="1"/>
  <c r="D3" i="20"/>
  <c r="M3" i="20" l="1"/>
  <c r="E15" i="20" l="1"/>
  <c r="N15" i="20" l="1"/>
  <c r="D15" i="20"/>
  <c r="E22" i="20"/>
  <c r="E23" i="20" s="1"/>
  <c r="E24" i="20" s="1"/>
  <c r="E25" i="20" s="1"/>
  <c r="E26" i="20" s="1"/>
  <c r="E27" i="20" s="1"/>
  <c r="E28" i="20" s="1"/>
  <c r="E29" i="20" s="1"/>
  <c r="E30" i="20" s="1"/>
  <c r="E31" i="20" s="1"/>
  <c r="E32" i="20" s="1"/>
  <c r="E33" i="20" s="1"/>
  <c r="E34" i="20" s="1"/>
  <c r="E35" i="20" s="1"/>
  <c r="E36" i="20" s="1"/>
  <c r="E37" i="20" s="1"/>
  <c r="E38" i="20" s="1"/>
  <c r="E39" i="20" s="1"/>
  <c r="E40" i="20" s="1"/>
  <c r="E41" i="20" s="1"/>
  <c r="E42" i="20" s="1"/>
  <c r="E43" i="20" s="1"/>
  <c r="E44" i="20" s="1"/>
  <c r="E45" i="20" s="1"/>
  <c r="E46" i="20" s="1"/>
  <c r="E47" i="20" s="1"/>
  <c r="E48" i="20" s="1"/>
  <c r="D22" i="20"/>
  <c r="D23" i="20" s="1"/>
  <c r="D24" i="20" s="1"/>
  <c r="D25" i="20" s="1"/>
  <c r="D26" i="20" s="1"/>
  <c r="D27" i="20" s="1"/>
  <c r="D28" i="20" s="1"/>
  <c r="D29" i="20" s="1"/>
  <c r="D30" i="20" s="1"/>
  <c r="D31" i="20" s="1"/>
  <c r="D32" i="20" s="1"/>
  <c r="D33" i="20" s="1"/>
  <c r="D34" i="20" s="1"/>
  <c r="D35" i="20" s="1"/>
  <c r="D36" i="20" s="1"/>
  <c r="D37" i="20" s="1"/>
  <c r="D38" i="20" s="1"/>
  <c r="D39" i="20" s="1"/>
  <c r="D40" i="20" s="1"/>
  <c r="D41" i="20" s="1"/>
  <c r="D42" i="20" s="1"/>
  <c r="D43" i="20" s="1"/>
  <c r="D44" i="20" s="1"/>
  <c r="D45" i="20" s="1"/>
  <c r="D46" i="20" s="1"/>
  <c r="D47" i="20" s="1"/>
  <c r="D48" i="20" s="1"/>
  <c r="E13" i="20"/>
  <c r="D13" i="20"/>
  <c r="E8" i="20"/>
  <c r="M13" i="20" l="1"/>
  <c r="M15" i="20"/>
  <c r="N13" i="20"/>
  <c r="N8" i="20"/>
  <c r="C15" i="20"/>
  <c r="C22" i="20"/>
  <c r="C23" i="20" s="1"/>
  <c r="C24" i="20" s="1"/>
  <c r="C25" i="20" s="1"/>
  <c r="C26" i="20" s="1"/>
  <c r="C27" i="20" s="1"/>
  <c r="C28" i="20" s="1"/>
  <c r="C29" i="20" s="1"/>
  <c r="C30" i="20" s="1"/>
  <c r="C31" i="20" s="1"/>
  <c r="C32" i="20" s="1"/>
  <c r="C33" i="20" s="1"/>
  <c r="C34" i="20" s="1"/>
  <c r="C35" i="20" s="1"/>
  <c r="C36" i="20" s="1"/>
  <c r="C37" i="20" s="1"/>
  <c r="C38" i="20" s="1"/>
  <c r="C39" i="20" s="1"/>
  <c r="C40" i="20" s="1"/>
  <c r="C41" i="20" s="1"/>
  <c r="C42" i="20" s="1"/>
  <c r="C43" i="20" s="1"/>
  <c r="C44" i="20" s="1"/>
  <c r="C45" i="20" s="1"/>
  <c r="C46" i="20" s="1"/>
  <c r="C47" i="20" s="1"/>
  <c r="C48" i="20" s="1"/>
  <c r="C3" i="20"/>
  <c r="E21" i="20"/>
  <c r="E20" i="20"/>
  <c r="H3" i="20"/>
  <c r="E17" i="20"/>
  <c r="H15" i="20"/>
  <c r="D10" i="20"/>
  <c r="D7" i="20"/>
  <c r="E18" i="20"/>
  <c r="D11" i="20"/>
  <c r="E14" i="20"/>
  <c r="E11" i="20"/>
  <c r="D20" i="20"/>
  <c r="E12" i="20"/>
  <c r="D16" i="20"/>
  <c r="D8" i="20"/>
  <c r="E7" i="20"/>
  <c r="E4" i="20"/>
  <c r="D12" i="20"/>
  <c r="D17" i="20"/>
  <c r="E19" i="20"/>
  <c r="D5" i="20"/>
  <c r="E9" i="20"/>
  <c r="D4" i="20"/>
  <c r="D19" i="20"/>
  <c r="D18" i="20"/>
  <c r="D14" i="20"/>
  <c r="H22" i="20"/>
  <c r="H23" i="20" s="1"/>
  <c r="H24" i="20" s="1"/>
  <c r="H25" i="20" s="1"/>
  <c r="H26" i="20" s="1"/>
  <c r="H27" i="20" s="1"/>
  <c r="H28" i="20" s="1"/>
  <c r="H29" i="20" s="1"/>
  <c r="H30" i="20" s="1"/>
  <c r="H31" i="20" s="1"/>
  <c r="H32" i="20" s="1"/>
  <c r="H33" i="20" s="1"/>
  <c r="H34" i="20" s="1"/>
  <c r="H35" i="20" s="1"/>
  <c r="H36" i="20" s="1"/>
  <c r="H37" i="20" s="1"/>
  <c r="H38" i="20" s="1"/>
  <c r="H39" i="20" s="1"/>
  <c r="H40" i="20" s="1"/>
  <c r="H41" i="20" s="1"/>
  <c r="H42" i="20" s="1"/>
  <c r="H43" i="20" s="1"/>
  <c r="H44" i="20" s="1"/>
  <c r="H45" i="20" s="1"/>
  <c r="H46" i="20" s="1"/>
  <c r="H47" i="20" s="1"/>
  <c r="H48" i="20" s="1"/>
  <c r="E5" i="20"/>
  <c r="E16" i="20"/>
  <c r="H13" i="20"/>
  <c r="D9" i="20"/>
  <c r="E10" i="20"/>
  <c r="E6" i="20" l="1"/>
  <c r="D6" i="20"/>
  <c r="I13" i="20"/>
  <c r="N7" i="20"/>
  <c r="N11" i="20"/>
  <c r="M14" i="20"/>
  <c r="I3" i="20"/>
  <c r="Q3" i="20"/>
  <c r="I22" i="20"/>
  <c r="I23" i="20" s="1"/>
  <c r="I24" i="20" s="1"/>
  <c r="I25" i="20" s="1"/>
  <c r="I26" i="20" s="1"/>
  <c r="I27" i="20" s="1"/>
  <c r="I28" i="20" s="1"/>
  <c r="I29" i="20" s="1"/>
  <c r="I30" i="20" s="1"/>
  <c r="I31" i="20" s="1"/>
  <c r="I32" i="20" s="1"/>
  <c r="I33" i="20" s="1"/>
  <c r="I34" i="20" s="1"/>
  <c r="I35" i="20" s="1"/>
  <c r="I36" i="20" s="1"/>
  <c r="I37" i="20" s="1"/>
  <c r="I38" i="20" s="1"/>
  <c r="I39" i="20" s="1"/>
  <c r="I40" i="20" s="1"/>
  <c r="I41" i="20" s="1"/>
  <c r="I42" i="20" s="1"/>
  <c r="I43" i="20" s="1"/>
  <c r="I44" i="20" s="1"/>
  <c r="I45" i="20" s="1"/>
  <c r="I46" i="20" s="1"/>
  <c r="I47" i="20" s="1"/>
  <c r="I48" i="20" s="1"/>
  <c r="N20" i="20"/>
  <c r="I15" i="20"/>
  <c r="N16" i="20"/>
  <c r="M9" i="20"/>
  <c r="M7" i="20"/>
  <c r="M5" i="20"/>
  <c r="N21" i="20"/>
  <c r="N4" i="20"/>
  <c r="M19" i="20"/>
  <c r="N9" i="20"/>
  <c r="C8" i="20"/>
  <c r="M18" i="20"/>
  <c r="M4" i="20"/>
  <c r="M8" i="20"/>
  <c r="N14" i="20"/>
  <c r="N18" i="20"/>
  <c r="M10" i="20"/>
  <c r="M16" i="20"/>
  <c r="C20" i="20"/>
  <c r="M22" i="20"/>
  <c r="Q13" i="20"/>
  <c r="N19" i="20"/>
  <c r="C11" i="20"/>
  <c r="M11" i="20"/>
  <c r="Q15" i="20"/>
  <c r="N10" i="20"/>
  <c r="M17" i="20"/>
  <c r="M20" i="20"/>
  <c r="C13" i="20"/>
  <c r="N5" i="20"/>
  <c r="C14" i="20"/>
  <c r="N17" i="20"/>
  <c r="L15" i="20"/>
  <c r="N22" i="20"/>
  <c r="N12" i="20"/>
  <c r="M12" i="20"/>
  <c r="C6" i="20"/>
  <c r="H4" i="20"/>
  <c r="H6" i="20"/>
  <c r="H20" i="20"/>
  <c r="H10" i="20"/>
  <c r="H8" i="20"/>
  <c r="H21" i="20"/>
  <c r="H11" i="20"/>
  <c r="H16" i="20"/>
  <c r="H14" i="20"/>
  <c r="H5" i="20"/>
  <c r="H9" i="20"/>
  <c r="H19" i="20"/>
  <c r="H7" i="20"/>
  <c r="H17" i="20"/>
  <c r="H18" i="20"/>
  <c r="H12" i="20"/>
  <c r="M6" i="20" l="1"/>
  <c r="N6" i="20"/>
  <c r="I14" i="20"/>
  <c r="R15" i="20"/>
  <c r="I5" i="20"/>
  <c r="I21" i="20"/>
  <c r="I4" i="20"/>
  <c r="Q4" i="20"/>
  <c r="I12" i="20"/>
  <c r="I8" i="20"/>
  <c r="Q8" i="20"/>
  <c r="I9" i="20"/>
  <c r="I6" i="20"/>
  <c r="Q6" i="20"/>
  <c r="I11" i="20"/>
  <c r="L6" i="20"/>
  <c r="I19" i="20"/>
  <c r="Q19" i="20"/>
  <c r="R3" i="20"/>
  <c r="I7" i="20"/>
  <c r="I16" i="20"/>
  <c r="I18" i="20"/>
  <c r="Q18" i="20"/>
  <c r="I10" i="20"/>
  <c r="Q10" i="20"/>
  <c r="I17" i="20"/>
  <c r="I20" i="20"/>
  <c r="Q20" i="20"/>
  <c r="R13" i="20"/>
  <c r="L11" i="20"/>
  <c r="M23" i="20"/>
  <c r="C5" i="20"/>
  <c r="Q5" i="20"/>
  <c r="C19" i="20"/>
  <c r="L14" i="20"/>
  <c r="L13" i="20"/>
  <c r="L20" i="20"/>
  <c r="C18" i="20"/>
  <c r="L22" i="20"/>
  <c r="Q14" i="20"/>
  <c r="N23" i="20"/>
  <c r="Q22" i="20"/>
  <c r="Q17" i="20"/>
  <c r="Q9" i="20"/>
  <c r="Q16" i="20"/>
  <c r="L8" i="20"/>
  <c r="C17" i="20"/>
  <c r="Q7" i="20"/>
  <c r="C7" i="20"/>
  <c r="C9" i="20"/>
  <c r="Q11" i="20"/>
  <c r="L3" i="20"/>
  <c r="C12" i="20"/>
  <c r="Q12" i="20"/>
  <c r="Q21" i="20"/>
  <c r="R6" i="20" l="1"/>
  <c r="R7" i="20"/>
  <c r="R5" i="20"/>
  <c r="R8" i="20"/>
  <c r="R4" i="20"/>
  <c r="R10" i="20"/>
  <c r="R18" i="20"/>
  <c r="R9" i="20"/>
  <c r="L5" i="20"/>
  <c r="L7" i="20"/>
  <c r="R17" i="20"/>
  <c r="R11" i="20"/>
  <c r="R12" i="20"/>
  <c r="R21" i="20"/>
  <c r="L17" i="20"/>
  <c r="L19" i="20"/>
  <c r="R16" i="20"/>
  <c r="R19" i="20"/>
  <c r="L18" i="20"/>
  <c r="R20" i="20"/>
  <c r="L12" i="20"/>
  <c r="R22" i="20"/>
  <c r="R14" i="20"/>
  <c r="M24" i="20"/>
  <c r="L9" i="20"/>
  <c r="Q23" i="20"/>
  <c r="N24" i="20"/>
  <c r="L23" i="20"/>
  <c r="R23" i="20" l="1"/>
  <c r="N25" i="20"/>
  <c r="M25" i="20"/>
  <c r="L24" i="20"/>
  <c r="Q24" i="20"/>
  <c r="R24" i="20" l="1"/>
  <c r="L25" i="20"/>
  <c r="Q25" i="20"/>
  <c r="M26" i="20"/>
  <c r="N26" i="20"/>
  <c r="R25" i="20" l="1"/>
  <c r="Q26" i="20"/>
  <c r="L26" i="20"/>
  <c r="N27" i="20"/>
  <c r="M27" i="20"/>
  <c r="R26" i="20" l="1"/>
  <c r="L27" i="20"/>
  <c r="N28" i="20"/>
  <c r="M28" i="20"/>
  <c r="Q27" i="20"/>
  <c r="R27" i="20" l="1"/>
  <c r="Q28" i="20"/>
  <c r="L28" i="20"/>
  <c r="M29" i="20"/>
  <c r="N29" i="20"/>
  <c r="R28" i="20" l="1"/>
  <c r="L29" i="20"/>
  <c r="N30" i="20"/>
  <c r="Q29" i="20"/>
  <c r="M30" i="20"/>
  <c r="R29" i="20" l="1"/>
  <c r="M31" i="20"/>
  <c r="N31" i="20"/>
  <c r="L30" i="20"/>
  <c r="Q30" i="20"/>
  <c r="R30" i="20" l="1"/>
  <c r="N32" i="20"/>
  <c r="Q31" i="20"/>
  <c r="M32" i="20"/>
  <c r="L31" i="20"/>
  <c r="R31" i="20" l="1"/>
  <c r="Q32" i="20"/>
  <c r="L32" i="20"/>
  <c r="M33" i="20"/>
  <c r="N33" i="20"/>
  <c r="R32" i="20" l="1"/>
  <c r="M34" i="20"/>
  <c r="L33" i="20"/>
  <c r="N34" i="20"/>
  <c r="Q33" i="20"/>
  <c r="R33" i="20" l="1"/>
  <c r="N35" i="20"/>
  <c r="Q34" i="20"/>
  <c r="L34" i="20"/>
  <c r="M35" i="20"/>
  <c r="R34" i="20" l="1"/>
  <c r="Q35" i="20"/>
  <c r="M36" i="20"/>
  <c r="L35" i="20"/>
  <c r="N36" i="20"/>
  <c r="R35" i="20" l="1"/>
  <c r="M37" i="20"/>
  <c r="Q36" i="20"/>
  <c r="N37" i="20"/>
  <c r="L36" i="20"/>
  <c r="R36" i="20" l="1"/>
  <c r="N38" i="20"/>
  <c r="L37" i="20"/>
  <c r="Q37" i="20"/>
  <c r="M38" i="20"/>
  <c r="R37" i="20" l="1"/>
  <c r="N39" i="20"/>
  <c r="M39" i="20"/>
  <c r="Q38" i="20"/>
  <c r="L38" i="20"/>
  <c r="R38" i="20" l="1"/>
  <c r="L39" i="20"/>
  <c r="N40" i="20"/>
  <c r="Q39" i="20"/>
  <c r="M40" i="20"/>
  <c r="R39" i="20" l="1"/>
  <c r="M41" i="20"/>
  <c r="Q40" i="20"/>
  <c r="L40" i="20"/>
  <c r="N41" i="20"/>
  <c r="R40" i="20" l="1"/>
  <c r="N42" i="20"/>
  <c r="Q41" i="20"/>
  <c r="M42" i="20"/>
  <c r="L41" i="20"/>
  <c r="R41" i="20" l="1"/>
  <c r="L42" i="20"/>
  <c r="N43" i="20"/>
  <c r="Q42" i="20"/>
  <c r="M43" i="20"/>
  <c r="R42" i="20" l="1"/>
  <c r="N44" i="20"/>
  <c r="M44" i="20"/>
  <c r="Q43" i="20"/>
  <c r="L43" i="20"/>
  <c r="R43" i="20" l="1"/>
  <c r="M45" i="20"/>
  <c r="L44" i="20"/>
  <c r="Q44" i="20"/>
  <c r="N45" i="20"/>
  <c r="R44" i="20" l="1"/>
  <c r="L45" i="20"/>
  <c r="M46" i="20"/>
  <c r="N46" i="20"/>
  <c r="Q45" i="20"/>
  <c r="R45" i="20" l="1"/>
  <c r="Q46" i="20"/>
  <c r="N47" i="20"/>
  <c r="N48" i="20"/>
  <c r="L46" i="20"/>
  <c r="M47" i="20"/>
  <c r="M48" i="20"/>
  <c r="R46" i="20" l="1"/>
  <c r="L48" i="20"/>
  <c r="L47" i="20"/>
  <c r="Q47" i="20"/>
  <c r="Q48" i="20"/>
  <c r="R47" i="20" l="1"/>
  <c r="R48" i="20"/>
</calcChain>
</file>

<file path=xl/sharedStrings.xml><?xml version="1.0" encoding="utf-8"?>
<sst xmlns="http://schemas.openxmlformats.org/spreadsheetml/2006/main" count="549" uniqueCount="184">
  <si>
    <t>Avoided Cost Workbook</t>
  </si>
  <si>
    <t>Summary of tabs</t>
  </si>
  <si>
    <t>INCRM FIXED TRANSPORT</t>
  </si>
  <si>
    <t>Name</t>
  </si>
  <si>
    <t>Description</t>
  </si>
  <si>
    <t>Fixed cost of contracts that will be used to solve pre-DSM identified shortfalls</t>
  </si>
  <si>
    <t>Cost</t>
  </si>
  <si>
    <t>Year in Service</t>
  </si>
  <si>
    <t>Allocated Cost</t>
  </si>
  <si>
    <t>VARIABLE TRANSPORT</t>
  </si>
  <si>
    <t>Variable cost of Contracts. Once a shortfall is identified this should only use new contract costs</t>
  </si>
  <si>
    <t>Existing Contracts</t>
  </si>
  <si>
    <t>Contracts</t>
  </si>
  <si>
    <t>Contract</t>
  </si>
  <si>
    <t>Average</t>
  </si>
  <si>
    <t>Color Code</t>
  </si>
  <si>
    <t>You should change this box</t>
  </si>
  <si>
    <t>You probably don't need to change this box</t>
  </si>
  <si>
    <t>Don't change this box</t>
  </si>
  <si>
    <t>Result that will go into the final calculation</t>
  </si>
  <si>
    <t>INCRM FIXED STORAGE</t>
  </si>
  <si>
    <t>Fixed cost of storage contracts that are selected as cost effective pre-DSM</t>
  </si>
  <si>
    <t>Variable cost of storage contracts. Once a shortfall is identified this should only use new contract costs</t>
  </si>
  <si>
    <t>I-5 Exp</t>
  </si>
  <si>
    <t>Zone 1</t>
  </si>
  <si>
    <t>Zone 2</t>
  </si>
  <si>
    <t>Zone 3</t>
  </si>
  <si>
    <t>Zone 4</t>
  </si>
  <si>
    <t>Oregon</t>
  </si>
  <si>
    <t>Washington</t>
  </si>
  <si>
    <t>System</t>
  </si>
  <si>
    <t>Basin Weights (From SENDOUT)</t>
  </si>
  <si>
    <t>Aeco</t>
  </si>
  <si>
    <t>Sumas</t>
  </si>
  <si>
    <t>Rockies</t>
  </si>
  <si>
    <t>Price Forecast (Annual)</t>
  </si>
  <si>
    <t>Price Forecast (Peak)</t>
  </si>
  <si>
    <t>Forecast Type?</t>
  </si>
  <si>
    <t>Annual</t>
  </si>
  <si>
    <t>Peak</t>
  </si>
  <si>
    <t>COMMODITY COST</t>
  </si>
  <si>
    <t>Price of gas based on CNGC price forecast. Can be modified for either Peak AC or annual. Need to input weights for each zone, which should be calculated by SENDOUT supply take by zone</t>
  </si>
  <si>
    <t>Year</t>
  </si>
  <si>
    <t>$/ton</t>
  </si>
  <si>
    <t>$/dth</t>
  </si>
  <si>
    <t>Scenario?</t>
  </si>
  <si>
    <t>Scenarios</t>
  </si>
  <si>
    <t>CARBON TAX</t>
  </si>
  <si>
    <t>Adder to the commodity cost based on the desried carbon scenario</t>
  </si>
  <si>
    <t>Adder</t>
  </si>
  <si>
    <t>ENVIRONMENTAL ADDER</t>
  </si>
  <si>
    <t>Should stay 10% as per NWPCC recommendation unless scenario analysis</t>
  </si>
  <si>
    <t>DISTRIBUTION SYSTEM</t>
  </si>
  <si>
    <t>RISK PREMIUM</t>
  </si>
  <si>
    <t>Risk Premium</t>
  </si>
  <si>
    <t>Theoretical Cost to fully hedge natural gas portfolio</t>
  </si>
  <si>
    <t>INFLATION</t>
  </si>
  <si>
    <t>Estimated rate of inflation, modeled off the CPI.</t>
  </si>
  <si>
    <t>FINAL CALCULATION</t>
  </si>
  <si>
    <t>Current Avoided Cost Formula</t>
  </si>
  <si>
    <t>Inflation Factor</t>
  </si>
  <si>
    <t>System Therm Weight</t>
  </si>
  <si>
    <t>Aggregator of data from all other tabs. Currently costs past 20 years = 20th year cost</t>
  </si>
  <si>
    <t>Discount Rate</t>
  </si>
  <si>
    <t>GTN</t>
  </si>
  <si>
    <t>Source: https://www.zillow.com/mortgage-rates/30-year-fixed/</t>
  </si>
  <si>
    <t>As of -</t>
  </si>
  <si>
    <t xml:space="preserve">GTN13687 </t>
  </si>
  <si>
    <t xml:space="preserve">GTN13688 </t>
  </si>
  <si>
    <t xml:space="preserve">GTN17019W </t>
  </si>
  <si>
    <t xml:space="preserve">GTN17021 </t>
  </si>
  <si>
    <t xml:space="preserve">GTN17022 </t>
  </si>
  <si>
    <t xml:space="preserve">GTN17023 </t>
  </si>
  <si>
    <t xml:space="preserve">GTN17025 </t>
  </si>
  <si>
    <t xml:space="preserve">GTN17026 </t>
  </si>
  <si>
    <t xml:space="preserve">GTN17028 </t>
  </si>
  <si>
    <t xml:space="preserve">GTN17031 </t>
  </si>
  <si>
    <t xml:space="preserve">GTN17033 </t>
  </si>
  <si>
    <t xml:space="preserve">GTN17034 </t>
  </si>
  <si>
    <t xml:space="preserve">GTN17036 </t>
  </si>
  <si>
    <t xml:space="preserve">GTN17037 </t>
  </si>
  <si>
    <t xml:space="preserve">NWP100002N </t>
  </si>
  <si>
    <t xml:space="preserve">NWP100134N11 </t>
  </si>
  <si>
    <t xml:space="preserve">NWP100149S </t>
  </si>
  <si>
    <t xml:space="preserve">NWP100150N </t>
  </si>
  <si>
    <t xml:space="preserve">NWP139090Z26 </t>
  </si>
  <si>
    <t xml:space="preserve">NWP139382 </t>
  </si>
  <si>
    <t xml:space="preserve">NWP139383 </t>
  </si>
  <si>
    <t xml:space="preserve">NWP139384 </t>
  </si>
  <si>
    <t xml:space="preserve">NWP139630MEO </t>
  </si>
  <si>
    <t xml:space="preserve">NWP139637Z3W </t>
  </si>
  <si>
    <t xml:space="preserve">NWP140047DC </t>
  </si>
  <si>
    <t xml:space="preserve">NWP140748Z26 </t>
  </si>
  <si>
    <t xml:space="preserve">RUBY6103600B </t>
  </si>
  <si>
    <t>GTN18507</t>
  </si>
  <si>
    <t xml:space="preserve">JPWD-100302 </t>
  </si>
  <si>
    <t xml:space="preserve">JPWD-139624 </t>
  </si>
  <si>
    <t xml:space="preserve">NWP100002S </t>
  </si>
  <si>
    <t xml:space="preserve">NWP100064MEO </t>
  </si>
  <si>
    <t xml:space="preserve">NWP100134S3S </t>
  </si>
  <si>
    <t xml:space="preserve">NWP100149N </t>
  </si>
  <si>
    <t xml:space="preserve">NWP100150S </t>
  </si>
  <si>
    <t xml:space="preserve">NWP132329MEO </t>
  </si>
  <si>
    <t xml:space="preserve">NWP135558P3W </t>
  </si>
  <si>
    <t xml:space="preserve">GTN18057 </t>
  </si>
  <si>
    <t>Weighted average authorized margin, currently for Washington core cust.</t>
  </si>
  <si>
    <t>Nominal Avoided Cost (By Zone) - $/Therm</t>
  </si>
  <si>
    <t>Source</t>
  </si>
  <si>
    <t>NWP Presentation April 8th, 2014</t>
  </si>
  <si>
    <t>Blend of cost for milage based incrm. GTN capacity</t>
  </si>
  <si>
    <t>Total Cost - $/dth</t>
  </si>
  <si>
    <t>Total Cost $/dth</t>
  </si>
  <si>
    <t>Total Cost - dth</t>
  </si>
  <si>
    <t>FUEL</t>
  </si>
  <si>
    <t>Average fuel loss across all of Cascade's Contracts</t>
  </si>
  <si>
    <t>VARIABLE STORAGE</t>
  </si>
  <si>
    <t>Incremental Fixed Transportation</t>
  </si>
  <si>
    <t>Variable Transportation</t>
  </si>
  <si>
    <t>Fuel</t>
  </si>
  <si>
    <t>Fixed Storage</t>
  </si>
  <si>
    <t>Variable Storage</t>
  </si>
  <si>
    <t>Commodity Cost</t>
  </si>
  <si>
    <t>Environmental Adder</t>
  </si>
  <si>
    <t>Inflation</t>
  </si>
  <si>
    <t>CO2 to Therm Conversion</t>
  </si>
  <si>
    <t>SCC 2.5%</t>
  </si>
  <si>
    <t>N/A</t>
  </si>
  <si>
    <t>Real 2021$ Avoided Cost (By Zone)</t>
  </si>
  <si>
    <t>Start Year</t>
  </si>
  <si>
    <t>Commodity Cost - Calculated From Price Forecast</t>
  </si>
  <si>
    <t>CNGC Emission Factor for Upstream Natural Gas System  (assumed % of GHG emitted upstream of natural  gas delivered)</t>
  </si>
  <si>
    <t>Upstream Emission Rate, CH4 g/mmbtu</t>
  </si>
  <si>
    <t>Upstream Emission Rate, CO2e g/mmbtu</t>
  </si>
  <si>
    <t xml:space="preserve">End Use Emission Rate, CO2e g/mmbtu (based on  on Table NN-2 of 40 CFR Part 98 Subpart NN and company heating value) </t>
  </si>
  <si>
    <t>Total Emission Rate CO2e Metric Tons/therm</t>
  </si>
  <si>
    <t>Upstream Natural Gas System GHG Emission Rates (assumed % of GHG lost upstream of naturual gas delivered)</t>
  </si>
  <si>
    <t>GHGenius - from Puget Sound Clean Air Agency LCA Worksheet for PSE Tacoma LNG Facility (Canada supply)</t>
  </si>
  <si>
    <t>2020 EPA Annual GHG Inventory of US GHG Emissions and Sinks (1990-2018) (US Rockies supply)</t>
  </si>
  <si>
    <t>GWP of Methane - 100 yr</t>
  </si>
  <si>
    <t>therms per mmbtu - conversion</t>
  </si>
  <si>
    <t>CNGC Gas Supply</t>
  </si>
  <si>
    <t>%</t>
  </si>
  <si>
    <t>Sumas (BC Canada)</t>
  </si>
  <si>
    <t>AECO (AB Canada)</t>
  </si>
  <si>
    <t>US Rockies</t>
  </si>
  <si>
    <t>mmbtu</t>
  </si>
  <si>
    <t>mcf</t>
  </si>
  <si>
    <t>EIA</t>
  </si>
  <si>
    <t>Mcf NatGas</t>
  </si>
  <si>
    <t>Metric Ton CH4 in 1 Mcf of CH4</t>
  </si>
  <si>
    <t>&lt;----------</t>
  </si>
  <si>
    <t>From 40 CFR Part 98 Subpart W Equation W-36</t>
  </si>
  <si>
    <t>ρi = Density of GHGi. Use 0.0526 kg/ft3 for CO2 and N2O, and 0.0192 kg/ft3 for CH4 at 60 °F and 14.7 psia.</t>
  </si>
  <si>
    <t>1)</t>
  </si>
  <si>
    <t>unit of delivered natural gas - 1 mmbtu &amp; mcf equivalent</t>
  </si>
  <si>
    <t>https://www.eia.gov/tools/faqs/faq.php?id=45&amp;t=8</t>
  </si>
  <si>
    <t>2)</t>
  </si>
  <si>
    <t>Assumption on the % of the delivered gas that is methane</t>
  </si>
  <si>
    <t>Metric Ton MT</t>
  </si>
  <si>
    <t>Grams g</t>
  </si>
  <si>
    <t>Ton</t>
  </si>
  <si>
    <t>lbs</t>
  </si>
  <si>
    <t>lb/mmbtu</t>
  </si>
  <si>
    <t>g/mmbtu</t>
  </si>
  <si>
    <t>lb/mcf</t>
  </si>
  <si>
    <t>g/mcf</t>
  </si>
  <si>
    <t>3)</t>
  </si>
  <si>
    <r>
      <t>Calculation of the amount of methane</t>
    </r>
    <r>
      <rPr>
        <vertAlign val="subscript"/>
        <sz val="10"/>
        <color theme="1"/>
        <rFont val="Arial"/>
        <family val="2"/>
      </rPr>
      <t xml:space="preserve"> </t>
    </r>
    <r>
      <rPr>
        <sz val="11"/>
        <color theme="1"/>
        <rFont val="Calibri"/>
        <family val="2"/>
        <scheme val="minor"/>
      </rPr>
      <t>in a delivered unit of natural gas</t>
    </r>
  </si>
  <si>
    <t>mmbtu NatGas - 2021 EPA eGGRT Cascade WA Subpart NN Report Value</t>
  </si>
  <si>
    <t>Carbon Forecast</t>
  </si>
  <si>
    <t>Upstream Emissions Calculation</t>
  </si>
  <si>
    <r>
      <t>% CH</t>
    </r>
    <r>
      <rPr>
        <b/>
        <vertAlign val="subscript"/>
        <sz val="11"/>
        <color theme="1"/>
        <rFont val="Calibri"/>
        <family val="2"/>
        <scheme val="minor"/>
      </rPr>
      <t>4</t>
    </r>
  </si>
  <si>
    <r>
      <t>mcf of CH</t>
    </r>
    <r>
      <rPr>
        <b/>
        <vertAlign val="subscript"/>
        <sz val="11"/>
        <color theme="1"/>
        <rFont val="Calibri"/>
        <family val="2"/>
        <scheme val="minor"/>
      </rPr>
      <t>4</t>
    </r>
  </si>
  <si>
    <t>Carbon Compliance Cost</t>
  </si>
  <si>
    <t>GTN2023</t>
  </si>
  <si>
    <t>NWP100302</t>
  </si>
  <si>
    <t>NWP139624</t>
  </si>
  <si>
    <t>NWP143463</t>
  </si>
  <si>
    <t>CCA Forecast</t>
  </si>
  <si>
    <t>Combined</t>
  </si>
  <si>
    <t>CCA</t>
  </si>
  <si>
    <t>Source: IPCC Sixth Assessment Report</t>
  </si>
  <si>
    <t>Distribution System Costs in Real $2025/dth</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</si>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</sst>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5" formatCode="_(* #,##0_);_(* \(#,##0\);_(* &quot;-&quot;??_);_(@_)"/>
    <numFmt numFmtId="166" formatCode="_(* #,##0.0000_);_(* \(#,##0.0000\);_(* &quot;-&quot;??_);_(@_)"/>
    <numFmt numFmtId="167" formatCode="0.0%"/>
    <numFmt numFmtId="168" formatCode="0.000"/>
    <numFmt numFmtId="169" formatCode="_(&quot;$&quot;* #,##0.000_);_(&quot;$&quot;* \(#,##0.000\);_(&quot;$&quot;* &quot;-&quot;??_);_(@_)"/>
    <numFmt numFmtId="170" formatCode="0.000000"/>
    <numFmt numFmtId="171" formatCode="_(* #,##0.000000_);_(* \(#,##0.000000\);_(* &quot;-&quot;??_);_(@_)"/>
    <numFmt numFmtId="172" formatCode="0.0000"/>
    <numFmt numFmtId="173" formatCode="&quot;$&quot;#,##0.00"/>
  </numFmts>
  <fonts count="34"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8"/>
      <color theme="1"/>
      <name val="Calibri"/>
      <family val="2"/>
      <scheme val="minor"/>
    </font>
    <font>
      <b/>
      <sz val="24"/>
      <color theme="1"/>
      <name val="Calibri"/>
      <family val="2"/>
      <scheme val="minor"/>
    </font>
    <font>
      <sz val="24"/>
      <color rgb="FF9C0006"/>
      <name val="Calibri"/>
      <family val="2"/>
      <scheme val="minor"/>
    </font>
    <font>
      <sz val="18"/>
      <color theme="1"/>
      <name val="Calibri"/>
      <family val="2"/>
      <scheme val="minor"/>
    </font>
    <font>
      <sz val="10"/>
      <color rgb="FF000000"/>
      <name val="Times New Roman"/>
      <family val="1"/>
    </font>
    <font>
      <b/>
      <sz val="11"/>
      <color theme="1"/>
      <name val="Calibri"/>
      <family val="2"/>
      <scheme val="minor"/>
    </font>
    <font>
      <b/>
      <sz val="16"/>
      <color theme="1"/>
      <name val="Calibri"/>
      <family val="2"/>
      <scheme val="minor"/>
    </font>
    <font>
      <sz val="11"/>
      <color rgb="FF000000"/>
      <name val="Calibri"/>
      <family val="2"/>
      <scheme val="minor"/>
    </font>
    <font>
      <sz val="11"/>
      <color theme="1"/>
      <name val="Calibri"/>
      <family val="2"/>
      <scheme val="minor"/>
    </font>
    <font>
      <sz val="11"/>
      <color rgb="FFFF0000"/>
      <name val="Calibri"/>
      <family val="2"/>
      <scheme val="minor"/>
    </font>
    <font>
      <u/>
      <sz val="11"/>
      <color theme="10"/>
      <name val="Calibri"/>
      <family val="2"/>
      <scheme val="minor"/>
    </font>
    <font>
      <sz val="10"/>
      <color rgb="FF000000"/>
      <name val="Arial"/>
      <family val="2"/>
    </font>
    <font>
      <sz val="11"/>
      <name val="Calibri"/>
      <family val="2"/>
      <scheme val="minor"/>
    </font>
    <font>
      <vertAlign val="subscript"/>
      <sz val="10"/>
      <color theme="1"/>
      <name val="Arial"/>
      <family val="2"/>
    </font>
    <font>
      <b/>
      <sz val="36"/>
      <color theme="1"/>
      <name val="Calibri"/>
      <family val="2"/>
      <scheme val="minor"/>
    </font>
    <font>
      <b/>
      <vertAlign val="subscrip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sz val="10"/>
      <color theme="1"/>
      <name val="Arial"/>
      <family val="2"/>
    </font>
    <font>
      <sz val="10"/>
      <name val="MS Sans Serif"/>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bgColor indexed="64"/>
      </patternFill>
    </fill>
    <fill>
      <patternFill patternType="solid">
        <fgColor theme="4" tint="0.59999389629810485"/>
        <bgColor indexed="64"/>
      </patternFill>
    </fill>
    <fill>
      <patternFill patternType="solid">
        <fgColor theme="9"/>
        <bgColor indexed="64"/>
      </patternFill>
    </fill>
    <fill>
      <patternFill patternType="solid">
        <fgColor rgb="FF00B0F0"/>
        <bgColor indexed="64"/>
      </patternFill>
    </fill>
    <fill>
      <patternFill patternType="solid">
        <fgColor theme="7" tint="0.39997558519241921"/>
        <bgColor indexed="64"/>
      </patternFill>
    </fill>
    <fill>
      <patternFill patternType="solid">
        <fgColor theme="2"/>
        <bgColor indexed="64"/>
      </patternFill>
    </fill>
    <fill>
      <patternFill patternType="solid">
        <fgColor theme="4" tint="0.79998168889431442"/>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CCC"/>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ck">
        <color auto="1"/>
      </top>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thin">
        <color indexed="64"/>
      </bottom>
      <diagonal/>
    </border>
    <border>
      <left/>
      <right/>
      <top/>
      <bottom style="thick">
        <color indexed="64"/>
      </bottom>
      <diagonal/>
    </border>
    <border>
      <left/>
      <right style="medium">
        <color indexed="64"/>
      </right>
      <top style="thin">
        <color indexed="64"/>
      </top>
      <bottom/>
      <diagonal/>
    </border>
    <border>
      <left style="medium">
        <color indexed="64"/>
      </left>
      <right/>
      <top style="thin">
        <color indexed="64"/>
      </top>
      <bottom/>
      <diagonal/>
    </border>
  </borders>
  <cellStyleXfs count="54">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8"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4" fillId="0" borderId="0" applyNumberFormat="0" applyFill="0" applyBorder="0" applyAlignment="0" applyProtection="0"/>
    <xf numFmtId="0" fontId="20" fillId="0" borderId="0" applyNumberFormat="0" applyFill="0" applyBorder="0" applyAlignment="0" applyProtection="0"/>
    <xf numFmtId="0" fontId="21" fillId="0" borderId="19" applyNumberFormat="0" applyFill="0" applyAlignment="0" applyProtection="0"/>
    <xf numFmtId="0" fontId="22" fillId="0" borderId="20" applyNumberFormat="0" applyFill="0" applyAlignment="0" applyProtection="0"/>
    <xf numFmtId="0" fontId="23" fillId="0" borderId="21" applyNumberFormat="0" applyFill="0" applyAlignment="0" applyProtection="0"/>
    <xf numFmtId="0" fontId="23" fillId="0" borderId="0" applyNumberFormat="0" applyFill="0" applyBorder="0" applyAlignment="0" applyProtection="0"/>
    <xf numFmtId="0" fontId="24" fillId="12" borderId="22" applyNumberFormat="0" applyAlignment="0" applyProtection="0"/>
    <xf numFmtId="0" fontId="25" fillId="13" borderId="23" applyNumberFormat="0" applyAlignment="0" applyProtection="0"/>
    <xf numFmtId="0" fontId="26" fillId="13" borderId="22" applyNumberFormat="0" applyAlignment="0" applyProtection="0"/>
    <xf numFmtId="0" fontId="27" fillId="0" borderId="24" applyNumberFormat="0" applyFill="0" applyAlignment="0" applyProtection="0"/>
    <xf numFmtId="0" fontId="28" fillId="14" borderId="25" applyNumberFormat="0" applyAlignment="0" applyProtection="0"/>
    <xf numFmtId="0" fontId="13" fillId="0" borderId="0" applyNumberFormat="0" applyFill="0" applyBorder="0" applyAlignment="0" applyProtection="0"/>
    <xf numFmtId="0" fontId="12" fillId="15" borderId="26" applyNumberFormat="0" applyFont="0" applyAlignment="0" applyProtection="0"/>
    <xf numFmtId="0" fontId="29" fillId="0" borderId="0" applyNumberFormat="0" applyFill="0" applyBorder="0" applyAlignment="0" applyProtection="0"/>
    <xf numFmtId="0" fontId="9" fillId="0" borderId="27" applyNumberFormat="0" applyFill="0" applyAlignment="0" applyProtection="0"/>
    <xf numFmtId="0" fontId="30"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0"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0"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0"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30" fillId="3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30" fillId="36"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39" borderId="0" applyNumberFormat="0" applyBorder="0" applyAlignment="0" applyProtection="0"/>
    <xf numFmtId="0" fontId="12" fillId="0" borderId="0"/>
    <xf numFmtId="0" fontId="12" fillId="0" borderId="0"/>
    <xf numFmtId="0" fontId="33" fillId="0" borderId="0"/>
    <xf numFmtId="0" fontId="33" fillId="0" borderId="0"/>
    <xf numFmtId="0" fontId="31" fillId="0" borderId="0"/>
    <xf numFmtId="0" fontId="12" fillId="0" borderId="0"/>
    <xf numFmtId="0" fontId="32" fillId="0" borderId="0"/>
  </cellStyleXfs>
  <cellXfs count="240">
    <xf numFmtId="0" fontId="0" fillId="0" borderId="0" xfId="0"/>
    <xf numFmtId="0" fontId="0" fillId="0" borderId="4" xfId="0" applyBorder="1"/>
    <xf numFmtId="0" fontId="0" fillId="0" borderId="0" xfId="0" applyBorder="1"/>
    <xf numFmtId="0" fontId="0" fillId="5" borderId="0" xfId="0" applyFill="1"/>
    <xf numFmtId="0" fontId="0" fillId="0" borderId="10" xfId="0" applyBorder="1"/>
    <xf numFmtId="0" fontId="1" fillId="2" borderId="4" xfId="1" applyBorder="1"/>
    <xf numFmtId="0" fontId="1" fillId="2" borderId="0" xfId="1" applyBorder="1"/>
    <xf numFmtId="0" fontId="1" fillId="2" borderId="5" xfId="1" applyBorder="1"/>
    <xf numFmtId="0" fontId="1" fillId="2" borderId="7" xfId="1" applyBorder="1"/>
    <xf numFmtId="0" fontId="1" fillId="2" borderId="8" xfId="1" applyBorder="1"/>
    <xf numFmtId="0" fontId="3" fillId="4" borderId="0" xfId="3" applyBorder="1"/>
    <xf numFmtId="0" fontId="2" fillId="3" borderId="4" xfId="2" applyBorder="1"/>
    <xf numFmtId="0" fontId="2" fillId="3" borderId="6" xfId="2" applyBorder="1"/>
    <xf numFmtId="0" fontId="3" fillId="4" borderId="4" xfId="3" applyBorder="1"/>
    <xf numFmtId="0" fontId="3" fillId="4" borderId="6" xfId="3" applyBorder="1"/>
    <xf numFmtId="0" fontId="2" fillId="3" borderId="0" xfId="2" applyBorder="1"/>
    <xf numFmtId="0" fontId="2" fillId="3" borderId="5" xfId="2" applyBorder="1"/>
    <xf numFmtId="0" fontId="1" fillId="2" borderId="0" xfId="1"/>
    <xf numFmtId="0" fontId="2" fillId="3" borderId="0" xfId="2"/>
    <xf numFmtId="0" fontId="2" fillId="3" borderId="2" xfId="2" applyBorder="1"/>
    <xf numFmtId="0" fontId="2" fillId="3" borderId="3" xfId="2" applyBorder="1"/>
    <xf numFmtId="0" fontId="1" fillId="2" borderId="6" xfId="1" applyBorder="1"/>
    <xf numFmtId="0" fontId="2" fillId="3" borderId="9" xfId="2" applyBorder="1"/>
    <xf numFmtId="0" fontId="2" fillId="3" borderId="10" xfId="2" applyBorder="1"/>
    <xf numFmtId="0" fontId="3" fillId="4" borderId="3" xfId="3" applyBorder="1"/>
    <xf numFmtId="0" fontId="3" fillId="4" borderId="5" xfId="3" applyBorder="1"/>
    <xf numFmtId="0" fontId="3" fillId="4" borderId="8" xfId="3" applyBorder="1"/>
    <xf numFmtId="0" fontId="2" fillId="3" borderId="1" xfId="2" applyBorder="1"/>
    <xf numFmtId="0" fontId="0" fillId="0" borderId="11" xfId="0" applyBorder="1"/>
    <xf numFmtId="0" fontId="0" fillId="0" borderId="0" xfId="0" applyAlignment="1"/>
    <xf numFmtId="0" fontId="1" fillId="2" borderId="0" xfId="1" applyAlignment="1"/>
    <xf numFmtId="0" fontId="0" fillId="0" borderId="5" xfId="0" applyBorder="1"/>
    <xf numFmtId="0" fontId="0" fillId="0" borderId="7" xfId="0" applyBorder="1"/>
    <xf numFmtId="0" fontId="0" fillId="0" borderId="8" xfId="0" applyBorder="1"/>
    <xf numFmtId="0" fontId="0" fillId="0" borderId="6" xfId="0" applyBorder="1"/>
    <xf numFmtId="0" fontId="2" fillId="3" borderId="0" xfId="2" applyAlignment="1"/>
    <xf numFmtId="0" fontId="0" fillId="0" borderId="0" xfId="0"/>
    <xf numFmtId="0" fontId="1" fillId="2" borderId="11" xfId="1" applyBorder="1" applyAlignment="1">
      <alignment wrapText="1"/>
    </xf>
    <xf numFmtId="0" fontId="1" fillId="2" borderId="11" xfId="1" applyBorder="1"/>
    <xf numFmtId="0" fontId="1" fillId="2" borderId="10" xfId="1" applyBorder="1"/>
    <xf numFmtId="0" fontId="2" fillId="3" borderId="4" xfId="2" applyBorder="1" applyAlignment="1">
      <alignment horizontal="center"/>
    </xf>
    <xf numFmtId="0" fontId="2" fillId="3" borderId="0" xfId="2" applyBorder="1" applyAlignment="1">
      <alignment horizontal="center"/>
    </xf>
    <xf numFmtId="0" fontId="9" fillId="0" borderId="1" xfId="0" applyFont="1" applyBorder="1"/>
    <xf numFmtId="0" fontId="0" fillId="0" borderId="2" xfId="0" applyBorder="1"/>
    <xf numFmtId="0" fontId="0" fillId="0" borderId="3" xfId="0" applyBorder="1"/>
    <xf numFmtId="14" fontId="0" fillId="0" borderId="7" xfId="0" applyNumberFormat="1" applyBorder="1"/>
    <xf numFmtId="0" fontId="6" fillId="3" borderId="2" xfId="2" applyFont="1" applyBorder="1" applyAlignment="1"/>
    <xf numFmtId="0" fontId="6" fillId="3" borderId="3" xfId="2" applyFont="1" applyBorder="1" applyAlignment="1"/>
    <xf numFmtId="0" fontId="6" fillId="3" borderId="0" xfId="2" applyFont="1" applyBorder="1" applyAlignment="1"/>
    <xf numFmtId="0" fontId="6" fillId="3" borderId="5" xfId="2" applyFont="1" applyBorder="1" applyAlignment="1"/>
    <xf numFmtId="0" fontId="6" fillId="3" borderId="7" xfId="2" applyFont="1" applyBorder="1" applyAlignment="1"/>
    <xf numFmtId="0" fontId="6" fillId="3" borderId="8" xfId="2" applyFont="1" applyBorder="1" applyAlignment="1"/>
    <xf numFmtId="0" fontId="3" fillId="4" borderId="7" xfId="3" applyBorder="1"/>
    <xf numFmtId="0" fontId="0" fillId="0" borderId="0" xfId="0" applyFill="1"/>
    <xf numFmtId="0" fontId="0" fillId="0" borderId="1" xfId="0" applyBorder="1"/>
    <xf numFmtId="0" fontId="0" fillId="0" borderId="2" xfId="0" applyBorder="1" applyAlignment="1"/>
    <xf numFmtId="0" fontId="3" fillId="4" borderId="3" xfId="3" applyBorder="1" applyAlignment="1"/>
    <xf numFmtId="0" fontId="2" fillId="3" borderId="5" xfId="2" applyBorder="1" applyAlignment="1">
      <alignment horizontal="center"/>
    </xf>
    <xf numFmtId="0" fontId="0" fillId="0" borderId="13" xfId="0" applyBorder="1"/>
    <xf numFmtId="10" fontId="0" fillId="0" borderId="0" xfId="0" applyNumberFormat="1"/>
    <xf numFmtId="0" fontId="0" fillId="0" borderId="0" xfId="0" applyAlignment="1">
      <alignment wrapText="1"/>
    </xf>
    <xf numFmtId="165" fontId="0" fillId="0" borderId="0" xfId="5" applyNumberFormat="1" applyFont="1"/>
    <xf numFmtId="165" fontId="0" fillId="0" borderId="0" xfId="0" applyNumberFormat="1"/>
    <xf numFmtId="166" fontId="0" fillId="0" borderId="0" xfId="0" applyNumberFormat="1" applyAlignment="1">
      <alignment wrapText="1"/>
    </xf>
    <xf numFmtId="0" fontId="15" fillId="0" borderId="0" xfId="0" applyFont="1" applyAlignment="1">
      <alignment wrapText="1"/>
    </xf>
    <xf numFmtId="0" fontId="16" fillId="0" borderId="0" xfId="0" applyFont="1" applyAlignment="1">
      <alignment wrapText="1"/>
    </xf>
    <xf numFmtId="0" fontId="16" fillId="0" borderId="0" xfId="0" applyFont="1"/>
    <xf numFmtId="0" fontId="9" fillId="0" borderId="14" xfId="0" applyFont="1" applyBorder="1" applyAlignment="1">
      <alignment horizontal="center"/>
    </xf>
    <xf numFmtId="167" fontId="0" fillId="0" borderId="0" xfId="0" applyNumberFormat="1"/>
    <xf numFmtId="0" fontId="0" fillId="7" borderId="0" xfId="0" applyFill="1"/>
    <xf numFmtId="0" fontId="0" fillId="7" borderId="0" xfId="0" applyFill="1" applyAlignment="1">
      <alignment horizontal="center" vertical="center"/>
    </xf>
    <xf numFmtId="0" fontId="0" fillId="0" borderId="0" xfId="0" applyAlignment="1">
      <alignment horizontal="center" vertical="center"/>
    </xf>
    <xf numFmtId="0" fontId="0" fillId="8" borderId="1" xfId="0" applyFill="1" applyBorder="1" applyAlignment="1">
      <alignment horizontal="center" vertical="center" wrapText="1"/>
    </xf>
    <xf numFmtId="0" fontId="0" fillId="8" borderId="2" xfId="0" applyFill="1" applyBorder="1" applyAlignment="1">
      <alignment horizontal="center" vertical="center" wrapText="1"/>
    </xf>
    <xf numFmtId="0" fontId="0" fillId="8" borderId="3" xfId="0" applyFill="1" applyBorder="1" applyAlignment="1">
      <alignment wrapText="1"/>
    </xf>
    <xf numFmtId="0" fontId="0" fillId="0" borderId="0" xfId="0" applyAlignment="1">
      <alignment horizontal="center" vertical="center" wrapText="1"/>
    </xf>
    <xf numFmtId="0" fontId="0" fillId="8" borderId="0" xfId="0" applyFill="1" applyAlignment="1">
      <alignment horizontal="center" vertical="center" wrapText="1"/>
    </xf>
    <xf numFmtId="168" fontId="0" fillId="0" borderId="0" xfId="0" applyNumberFormat="1" applyAlignment="1">
      <alignment horizontal="center" vertical="center" wrapText="1"/>
    </xf>
    <xf numFmtId="0" fontId="14" fillId="0" borderId="6" xfId="8"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168" fontId="0" fillId="0" borderId="0" xfId="0" applyNumberFormat="1" applyAlignment="1">
      <alignment horizontal="center" vertical="center"/>
    </xf>
    <xf numFmtId="0" fontId="0" fillId="8" borderId="3" xfId="0" applyFill="1" applyBorder="1" applyAlignment="1">
      <alignment horizontal="center" vertical="center" wrapText="1"/>
    </xf>
    <xf numFmtId="0" fontId="0" fillId="0" borderId="6" xfId="0" applyBorder="1" applyAlignment="1">
      <alignment horizontal="center" vertical="center" wrapText="1"/>
    </xf>
    <xf numFmtId="3" fontId="0" fillId="0" borderId="7" xfId="0" applyNumberFormat="1" applyBorder="1" applyAlignment="1">
      <alignment horizontal="center" vertical="center" wrapText="1"/>
    </xf>
    <xf numFmtId="0" fontId="0" fillId="0" borderId="8" xfId="0" applyBorder="1" applyAlignment="1">
      <alignment horizontal="center" vertical="center" wrapText="1"/>
    </xf>
    <xf numFmtId="3" fontId="0" fillId="0" borderId="0" xfId="0" applyNumberFormat="1" applyAlignment="1">
      <alignment horizontal="center" vertical="center"/>
    </xf>
    <xf numFmtId="0" fontId="15" fillId="0" borderId="0" xfId="0" applyFont="1"/>
    <xf numFmtId="0" fontId="13" fillId="0" borderId="0" xfId="0" applyFont="1"/>
    <xf numFmtId="0" fontId="9" fillId="0" borderId="0" xfId="0" applyFont="1" applyAlignment="1">
      <alignment horizontal="center"/>
    </xf>
    <xf numFmtId="0" fontId="0" fillId="11" borderId="12" xfId="0" applyFill="1" applyBorder="1"/>
    <xf numFmtId="169" fontId="0" fillId="0" borderId="12" xfId="6" applyNumberFormat="1" applyFont="1" applyFill="1" applyBorder="1"/>
    <xf numFmtId="165" fontId="0" fillId="0" borderId="0" xfId="0" applyNumberFormat="1" applyAlignment="1">
      <alignment wrapText="1"/>
    </xf>
    <xf numFmtId="165" fontId="13" fillId="0" borderId="0" xfId="5" applyNumberFormat="1" applyFont="1" applyAlignment="1">
      <alignment wrapText="1"/>
    </xf>
    <xf numFmtId="43" fontId="0" fillId="0" borderId="0" xfId="0" applyNumberFormat="1"/>
    <xf numFmtId="0" fontId="13" fillId="0" borderId="0" xfId="0" applyFont="1" applyAlignment="1">
      <alignment wrapText="1"/>
    </xf>
    <xf numFmtId="165" fontId="0" fillId="0" borderId="0" xfId="5" applyNumberFormat="1" applyFont="1" applyAlignment="1">
      <alignment wrapText="1"/>
    </xf>
    <xf numFmtId="0" fontId="0" fillId="7" borderId="0" xfId="0" applyFill="1" applyAlignment="1">
      <alignment horizontal="center" vertical="center" wrapText="1"/>
    </xf>
    <xf numFmtId="0" fontId="13" fillId="0" borderId="0" xfId="0" applyFont="1" applyAlignment="1">
      <alignment horizontal="left" vertical="center"/>
    </xf>
    <xf numFmtId="10" fontId="15" fillId="0" borderId="0" xfId="7" applyNumberFormat="1" applyFont="1" applyBorder="1" applyAlignment="1">
      <alignment wrapText="1"/>
    </xf>
    <xf numFmtId="9" fontId="0" fillId="0" borderId="0" xfId="7" applyFont="1" applyBorder="1" applyAlignment="1">
      <alignment wrapText="1"/>
    </xf>
    <xf numFmtId="165" fontId="0" fillId="0" borderId="0" xfId="5" applyNumberFormat="1" applyFont="1" applyFill="1"/>
    <xf numFmtId="165" fontId="0" fillId="0" borderId="0" xfId="0" applyNumberFormat="1" applyFill="1"/>
    <xf numFmtId="0" fontId="16" fillId="0" borderId="0" xfId="0" applyFont="1" applyFill="1"/>
    <xf numFmtId="167" fontId="0" fillId="0" borderId="0" xfId="7" applyNumberFormat="1" applyFont="1" applyFill="1"/>
    <xf numFmtId="170" fontId="0" fillId="0" borderId="0" xfId="0" applyNumberFormat="1"/>
    <xf numFmtId="171" fontId="0" fillId="0" borderId="0" xfId="5" applyNumberFormat="1" applyFont="1" applyFill="1" applyAlignment="1">
      <alignment wrapText="1"/>
    </xf>
    <xf numFmtId="0" fontId="10" fillId="0" borderId="0" xfId="0" applyFont="1" applyBorder="1" applyAlignment="1"/>
    <xf numFmtId="9" fontId="3" fillId="4" borderId="3" xfId="3" applyNumberFormat="1" applyBorder="1"/>
    <xf numFmtId="0" fontId="0" fillId="0" borderId="0" xfId="0" applyFill="1" applyBorder="1"/>
    <xf numFmtId="10" fontId="11" fillId="0" borderId="0" xfId="7" applyNumberFormat="1" applyFont="1" applyFill="1" applyBorder="1"/>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168" fontId="9" fillId="0" borderId="15" xfId="0" applyNumberFormat="1" applyFont="1" applyBorder="1" applyAlignment="1">
      <alignment horizontal="center" vertical="center" wrapText="1"/>
    </xf>
    <xf numFmtId="0" fontId="9" fillId="9" borderId="0" xfId="0" applyFont="1" applyFill="1" applyAlignment="1">
      <alignment horizontal="center" vertical="center" wrapText="1"/>
    </xf>
    <xf numFmtId="0" fontId="10" fillId="0" borderId="2" xfId="0" applyFont="1" applyBorder="1" applyAlignment="1"/>
    <xf numFmtId="0" fontId="10" fillId="0" borderId="3" xfId="0" applyFont="1" applyBorder="1" applyAlignment="1"/>
    <xf numFmtId="0" fontId="10" fillId="0" borderId="7" xfId="0" applyFont="1" applyBorder="1" applyAlignment="1"/>
    <xf numFmtId="0" fontId="10" fillId="0" borderId="8" xfId="0" applyFont="1" applyBorder="1" applyAlignment="1"/>
    <xf numFmtId="0" fontId="1" fillId="2" borderId="28" xfId="1" applyBorder="1"/>
    <xf numFmtId="0" fontId="0" fillId="0" borderId="0" xfId="0"/>
    <xf numFmtId="0" fontId="2" fillId="3" borderId="4" xfId="2" applyBorder="1" applyAlignment="1">
      <alignment horizontal="center"/>
    </xf>
    <xf numFmtId="0" fontId="2" fillId="3" borderId="0" xfId="2" applyBorder="1" applyAlignment="1">
      <alignment horizontal="center"/>
    </xf>
    <xf numFmtId="0" fontId="2" fillId="3" borderId="5" xfId="2" applyBorder="1" applyAlignment="1">
      <alignment horizontal="center"/>
    </xf>
    <xf numFmtId="0" fontId="0" fillId="0" borderId="0" xfId="0"/>
    <xf numFmtId="0" fontId="0" fillId="0" borderId="0" xfId="0" applyBorder="1"/>
    <xf numFmtId="0" fontId="0" fillId="0" borderId="0" xfId="0" applyFill="1" applyBorder="1"/>
    <xf numFmtId="0" fontId="0" fillId="0" borderId="0" xfId="0"/>
    <xf numFmtId="173" fontId="32" fillId="0" borderId="0" xfId="53" applyNumberFormat="1"/>
    <xf numFmtId="0" fontId="0" fillId="0" borderId="0" xfId="0" applyBorder="1"/>
    <xf numFmtId="173" fontId="32" fillId="0" borderId="0" xfId="53" applyNumberFormat="1"/>
    <xf numFmtId="0" fontId="0" fillId="0" borderId="0" xfId="0"/>
    <xf numFmtId="0" fontId="0" fillId="0" borderId="0" xfId="0"/>
    <xf numFmtId="0" fontId="1" fillId="2" borderId="30" xfId="1" applyBorder="1"/>
    <xf numFmtId="0" fontId="0" fillId="40" borderId="4" xfId="0" applyFill="1" applyBorder="1"/>
    <xf numFmtId="0" fontId="2" fillId="3" borderId="31" xfId="2" applyBorder="1"/>
    <xf numFmtId="0" fontId="10" fillId="0" borderId="0" xfId="0" applyFont="1" applyAlignment="1"/>
    <xf numFmtId="0" fontId="0" fillId="0" borderId="0" xfId="0"/>
    <xf numFmtId="0" fontId="0" fillId="0" borderId="0" xfId="0"/>
    <xf numFmtId="0" fontId="0" fillId="0" borderId="0" xfId="0"/>
    <xf numFmtId="0" fontId="2" fillId="3" borderId="4" xfId="2" applyBorder="1" applyAlignment="1">
      <alignment horizontal="center"/>
    </xf>
    <xf numFmtId="0" fontId="2" fillId="3" borderId="0" xfId="2" applyBorder="1" applyAlignment="1">
      <alignment horizontal="center"/>
    </xf>
    <xf numFmtId="0" fontId="2" fillId="3" borderId="5" xfId="2"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0" fillId="0" borderId="7" xfId="0" applyBorder="1" applyAlignment="1">
      <alignment horizontal="center" wrapText="1"/>
    </xf>
    <xf numFmtId="0" fontId="0" fillId="0" borderId="11" xfId="0" applyBorder="1" applyAlignment="1">
      <alignment horizontal="center" wrapText="1"/>
    </xf>
    <xf numFmtId="0" fontId="0" fillId="0" borderId="10" xfId="0" applyBorder="1" applyAlignment="1">
      <alignment horizontal="center" wrapText="1"/>
    </xf>
    <xf numFmtId="0" fontId="5" fillId="0" borderId="0" xfId="0" applyFont="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4" fillId="0" borderId="0" xfId="0" applyFont="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10" fontId="7" fillId="0" borderId="0" xfId="0" applyNumberFormat="1" applyFont="1" applyBorder="1" applyAlignment="1">
      <alignment horizontal="center"/>
    </xf>
    <xf numFmtId="10" fontId="7" fillId="0" borderId="5" xfId="0" applyNumberFormat="1" applyFont="1" applyBorder="1" applyAlignment="1">
      <alignment horizontal="center"/>
    </xf>
    <xf numFmtId="10" fontId="7" fillId="0" borderId="7" xfId="0" applyNumberFormat="1" applyFont="1" applyBorder="1" applyAlignment="1">
      <alignment horizontal="center"/>
    </xf>
    <xf numFmtId="10" fontId="7" fillId="0" borderId="8" xfId="0" applyNumberFormat="1" applyFont="1" applyBorder="1" applyAlignment="1">
      <alignment horizontal="center"/>
    </xf>
    <xf numFmtId="0" fontId="0" fillId="0" borderId="0" xfId="0" applyBorder="1" applyAlignment="1">
      <alignment horizontal="center" wrapText="1"/>
    </xf>
    <xf numFmtId="0" fontId="0" fillId="0" borderId="5" xfId="0" applyBorder="1" applyAlignment="1">
      <alignment horizontal="center" wrapText="1"/>
    </xf>
    <xf numFmtId="0" fontId="9" fillId="10" borderId="16" xfId="0" applyFont="1" applyFill="1" applyBorder="1" applyAlignment="1">
      <alignment horizontal="center"/>
    </xf>
    <xf numFmtId="0" fontId="9" fillId="10" borderId="17" xfId="0" applyFont="1" applyFill="1" applyBorder="1" applyAlignment="1">
      <alignment horizontal="center"/>
    </xf>
    <xf numFmtId="0" fontId="9" fillId="10" borderId="18" xfId="0" applyFont="1" applyFill="1" applyBorder="1" applyAlignment="1">
      <alignment horizontal="center"/>
    </xf>
    <xf numFmtId="0" fontId="10" fillId="0" borderId="0" xfId="0" applyFont="1" applyAlignment="1">
      <alignment horizontal="center"/>
    </xf>
    <xf numFmtId="0" fontId="6" fillId="3" borderId="1" xfId="2" applyFont="1" applyBorder="1" applyAlignment="1">
      <alignment horizontal="center"/>
    </xf>
    <xf numFmtId="0" fontId="6" fillId="3" borderId="2" xfId="2" applyFont="1" applyBorder="1" applyAlignment="1">
      <alignment horizontal="center"/>
    </xf>
    <xf numFmtId="0" fontId="6" fillId="3" borderId="4" xfId="2" applyFont="1" applyBorder="1" applyAlignment="1">
      <alignment horizontal="center"/>
    </xf>
    <xf numFmtId="0" fontId="6" fillId="3" borderId="0" xfId="2" applyFont="1" applyBorder="1" applyAlignment="1">
      <alignment horizontal="center"/>
    </xf>
    <xf numFmtId="0" fontId="6" fillId="3" borderId="6" xfId="2" applyFont="1" applyBorder="1" applyAlignment="1">
      <alignment horizontal="center"/>
    </xf>
    <xf numFmtId="0" fontId="6" fillId="3" borderId="7" xfId="2" applyFont="1" applyBorder="1" applyAlignment="1">
      <alignment horizontal="center"/>
    </xf>
    <xf numFmtId="0" fontId="6" fillId="3" borderId="3" xfId="2" applyFont="1" applyBorder="1" applyAlignment="1">
      <alignment horizontal="center"/>
    </xf>
    <xf numFmtId="0" fontId="6" fillId="3" borderId="5" xfId="2" applyFont="1" applyBorder="1" applyAlignment="1">
      <alignment horizontal="center"/>
    </xf>
    <xf numFmtId="0" fontId="6" fillId="3" borderId="8" xfId="2" applyFont="1" applyBorder="1" applyAlignment="1">
      <alignment horizontal="center"/>
    </xf>
    <xf numFmtId="0" fontId="1" fillId="2" borderId="0" xfId="1" applyBorder="1" applyAlignment="1">
      <alignment horizontal="center"/>
    </xf>
    <xf numFmtId="0" fontId="1" fillId="2" borderId="7" xfId="1" applyBorder="1" applyAlignment="1">
      <alignment horizontal="center" wrapText="1"/>
    </xf>
    <xf numFmtId="0" fontId="1" fillId="2" borderId="8" xfId="1" applyBorder="1" applyAlignment="1">
      <alignment horizontal="center" wrapText="1"/>
    </xf>
    <xf numFmtId="0" fontId="1" fillId="2" borderId="5" xfId="1" applyBorder="1" applyAlignment="1">
      <alignment horizontal="center"/>
    </xf>
    <xf numFmtId="0" fontId="2" fillId="3" borderId="1" xfId="2" applyBorder="1" applyAlignment="1">
      <alignment horizontal="center"/>
    </xf>
    <xf numFmtId="0" fontId="2" fillId="3" borderId="2" xfId="2" applyBorder="1" applyAlignment="1">
      <alignment horizontal="center"/>
    </xf>
    <xf numFmtId="0" fontId="2" fillId="3" borderId="3" xfId="2" applyBorder="1" applyAlignment="1">
      <alignment horizontal="center"/>
    </xf>
    <xf numFmtId="0" fontId="10" fillId="0" borderId="0" xfId="0" applyFont="1" applyAlignment="1">
      <alignment horizontal="center" vertical="center"/>
    </xf>
    <xf numFmtId="0" fontId="6" fillId="3" borderId="9" xfId="2" applyFont="1" applyBorder="1" applyAlignment="1">
      <alignment horizontal="center" wrapText="1"/>
    </xf>
    <xf numFmtId="0" fontId="6" fillId="3" borderId="11" xfId="2" applyFont="1" applyBorder="1" applyAlignment="1">
      <alignment horizontal="center" wrapText="1"/>
    </xf>
    <xf numFmtId="0" fontId="10" fillId="0" borderId="5" xfId="0" applyFont="1" applyBorder="1" applyAlignment="1">
      <alignment horizontal="center" vertical="center"/>
    </xf>
    <xf numFmtId="0" fontId="6" fillId="3" borderId="1" xfId="2" applyFont="1" applyBorder="1" applyAlignment="1">
      <alignment horizontal="center" wrapText="1"/>
    </xf>
    <xf numFmtId="0" fontId="6" fillId="3" borderId="2" xfId="2" applyFont="1" applyBorder="1" applyAlignment="1">
      <alignment horizontal="center" wrapText="1"/>
    </xf>
    <xf numFmtId="0" fontId="6" fillId="3" borderId="3" xfId="2" applyFont="1" applyBorder="1" applyAlignment="1">
      <alignment horizontal="center" wrapText="1"/>
    </xf>
    <xf numFmtId="0" fontId="6" fillId="3" borderId="4" xfId="2" applyFont="1" applyBorder="1" applyAlignment="1">
      <alignment horizontal="center" wrapText="1"/>
    </xf>
    <xf numFmtId="0" fontId="6" fillId="3" borderId="0" xfId="2" applyFont="1" applyBorder="1" applyAlignment="1">
      <alignment horizontal="center" wrapText="1"/>
    </xf>
    <xf numFmtId="0" fontId="6" fillId="3" borderId="5" xfId="2" applyFont="1" applyBorder="1" applyAlignment="1">
      <alignment horizontal="center" wrapText="1"/>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10" fillId="0" borderId="8" xfId="0" applyFont="1" applyBorder="1" applyAlignment="1">
      <alignment horizontal="center"/>
    </xf>
    <xf numFmtId="0" fontId="2" fillId="3" borderId="0" xfId="2" applyAlignment="1">
      <alignment horizontal="center"/>
    </xf>
    <xf numFmtId="0" fontId="10" fillId="0" borderId="4" xfId="0" applyFont="1" applyBorder="1" applyAlignment="1">
      <alignment horizontal="center"/>
    </xf>
    <xf numFmtId="0" fontId="10" fillId="0" borderId="0" xfId="0" applyFont="1" applyBorder="1" applyAlignment="1">
      <alignment horizontal="center"/>
    </xf>
    <xf numFmtId="0" fontId="10" fillId="0" borderId="5" xfId="0" applyFont="1" applyBorder="1" applyAlignment="1">
      <alignment horizontal="center"/>
    </xf>
    <xf numFmtId="0" fontId="18" fillId="0" borderId="9" xfId="0" applyFont="1" applyBorder="1" applyAlignment="1">
      <alignment horizontal="center"/>
    </xf>
    <xf numFmtId="0" fontId="18" fillId="0" borderId="11" xfId="0" applyFont="1" applyBorder="1" applyAlignment="1">
      <alignment horizontal="center"/>
    </xf>
    <xf numFmtId="0" fontId="18" fillId="0" borderId="10" xfId="0" applyFont="1" applyBorder="1" applyAlignment="1">
      <alignment horizontal="center"/>
    </xf>
    <xf numFmtId="0" fontId="0" fillId="6" borderId="6" xfId="0" applyFill="1" applyBorder="1"/>
    <xf numFmtId="0" fontId="0" fillId="6" borderId="1" xfId="0" applyFill="1" applyBorder="1"/>
    <xf numFmtId="0" fontId="0" fillId="6" borderId="3" xfId="0" applyFill="1" applyBorder="1"/>
    <xf numFmtId="0" fontId="0" fillId="6" borderId="4" xfId="0" applyFill="1" applyBorder="1"/>
    <xf numFmtId="0" fontId="0" fillId="6" borderId="5" xfId="0" applyFill="1" applyBorder="1"/>
    <xf numFmtId="0" fontId="0" fillId="6" borderId="7" xfId="0" applyFill="1" applyBorder="1"/>
    <xf numFmtId="0" fontId="0" fillId="6" borderId="8" xfId="0" applyFill="1" applyBorder="1"/>
    <xf numFmtId="0" fontId="0" fillId="6" borderId="5" xfId="0" applyNumberFormat="1" applyFill="1" applyBorder="1"/>
    <xf numFmtId="0" fontId="0" fillId="6" borderId="8" xfId="0" applyNumberFormat="1" applyFill="1" applyBorder="1"/>
    <xf numFmtId="0" fontId="0" fillId="6" borderId="2" xfId="0" applyFill="1" applyBorder="1"/>
    <xf numFmtId="0" fontId="0" fillId="6" borderId="0" xfId="0" applyFill="1" applyBorder="1"/>
    <xf numFmtId="0" fontId="16" fillId="2" borderId="0" xfId="1" applyFont="1" applyBorder="1" applyAlignment="1">
      <alignment horizontal="center" vertical="center"/>
    </xf>
    <xf numFmtId="0" fontId="16" fillId="2" borderId="7" xfId="1" applyFont="1" applyBorder="1" applyAlignment="1">
      <alignment horizontal="center" vertical="center"/>
    </xf>
    <xf numFmtId="9" fontId="0" fillId="6" borderId="0" xfId="0" applyNumberFormat="1" applyFill="1" applyBorder="1"/>
    <xf numFmtId="9" fontId="0" fillId="6" borderId="7" xfId="0" applyNumberFormat="1" applyFill="1" applyBorder="1"/>
    <xf numFmtId="172" fontId="0" fillId="6" borderId="0" xfId="0" applyNumberFormat="1" applyFill="1" applyBorder="1"/>
    <xf numFmtId="172" fontId="0" fillId="6" borderId="5" xfId="0" applyNumberFormat="1" applyFill="1" applyBorder="1"/>
    <xf numFmtId="172" fontId="0" fillId="6" borderId="7" xfId="0" applyNumberFormat="1" applyFill="1" applyBorder="1"/>
    <xf numFmtId="172" fontId="0" fillId="6" borderId="8" xfId="0" applyNumberFormat="1" applyFill="1" applyBorder="1"/>
    <xf numFmtId="10" fontId="0" fillId="6" borderId="5" xfId="0" applyNumberFormat="1" applyFill="1" applyBorder="1"/>
    <xf numFmtId="44" fontId="0" fillId="6" borderId="0" xfId="6" applyFont="1" applyFill="1" applyBorder="1"/>
    <xf numFmtId="44" fontId="0" fillId="6" borderId="5" xfId="6" applyFont="1" applyFill="1" applyBorder="1"/>
    <xf numFmtId="44" fontId="0" fillId="6" borderId="7" xfId="6" applyFont="1" applyFill="1" applyBorder="1"/>
    <xf numFmtId="44" fontId="0" fillId="6" borderId="8" xfId="6" applyFont="1" applyFill="1" applyBorder="1"/>
    <xf numFmtId="44" fontId="1" fillId="2" borderId="0" xfId="6" applyFont="1" applyFill="1" applyBorder="1"/>
    <xf numFmtId="44" fontId="3" fillId="4" borderId="5" xfId="6" applyFont="1" applyFill="1" applyBorder="1"/>
    <xf numFmtId="44" fontId="1" fillId="2" borderId="29" xfId="6" applyFont="1" applyFill="1" applyBorder="1"/>
    <xf numFmtId="44" fontId="16" fillId="5" borderId="0" xfId="6" applyFont="1" applyFill="1" applyBorder="1"/>
    <xf numFmtId="44" fontId="16" fillId="5" borderId="5" xfId="6" applyFont="1" applyFill="1" applyBorder="1"/>
    <xf numFmtId="44" fontId="16" fillId="5" borderId="7" xfId="6" applyFont="1" applyFill="1" applyBorder="1"/>
    <xf numFmtId="44" fontId="16" fillId="5" borderId="8" xfId="6" applyFont="1" applyFill="1" applyBorder="1"/>
    <xf numFmtId="44" fontId="16" fillId="5" borderId="29" xfId="6" applyFont="1" applyFill="1" applyBorder="1"/>
    <xf numFmtId="0" fontId="3" fillId="4" borderId="2" xfId="3" applyBorder="1"/>
  </cellXfs>
  <cellStyles count="54">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2" builtinId="27" customBuiltin="1"/>
    <cellStyle name="Calculation" xfId="16" builtinId="22" customBuiltin="1"/>
    <cellStyle name="Check Cell" xfId="18" builtinId="23" customBuiltin="1"/>
    <cellStyle name="Comma" xfId="5" builtinId="3"/>
    <cellStyle name="Currency" xfId="6" builtinId="4"/>
    <cellStyle name="Explanatory Text" xfId="21" builtinId="53" customBuiltin="1"/>
    <cellStyle name="Good" xfId="1" builtinId="26" customBuiltin="1"/>
    <cellStyle name="Heading 1" xfId="10" builtinId="16" customBuiltin="1"/>
    <cellStyle name="Heading 2" xfId="11" builtinId="17" customBuiltin="1"/>
    <cellStyle name="Heading 3" xfId="12" builtinId="18" customBuiltin="1"/>
    <cellStyle name="Heading 4" xfId="13" builtinId="19" customBuiltin="1"/>
    <cellStyle name="Hyperlink" xfId="8" builtinId="8"/>
    <cellStyle name="Input" xfId="14" builtinId="20" customBuiltin="1"/>
    <cellStyle name="Linked Cell" xfId="17" builtinId="24" customBuiltin="1"/>
    <cellStyle name="Neutral" xfId="3" builtinId="28" customBuiltin="1"/>
    <cellStyle name="Normal" xfId="0" builtinId="0"/>
    <cellStyle name="Normal 10" xfId="50" xr:uid="{BD4BC744-F598-4767-8DBB-40B5DD26CD61}"/>
    <cellStyle name="Normal 11" xfId="47" xr:uid="{C8CA5745-59C0-489C-A8A6-0A6379630D66}"/>
    <cellStyle name="Normal 2" xfId="4" xr:uid="{00000000-0005-0000-0000-000002000000}"/>
    <cellStyle name="Normal 2 2" xfId="51" xr:uid="{99A8E52B-B300-451A-B230-FE0DEDDEB9FD}"/>
    <cellStyle name="Normal 3" xfId="52" xr:uid="{588C046B-7EED-4E1F-B565-BE2FCACA8480}"/>
    <cellStyle name="Normal 4" xfId="53" xr:uid="{81DF21E0-5E4E-4A89-84DB-E0E11B3C5317}"/>
    <cellStyle name="Normal 5" xfId="48" xr:uid="{94115DA5-9252-4FFB-903B-D3E42CDBF738}"/>
    <cellStyle name="Normal 8" xfId="49" xr:uid="{58691756-5AA9-4751-8F5A-06E212F05BB2}"/>
    <cellStyle name="Note" xfId="20" builtinId="10" customBuiltin="1"/>
    <cellStyle name="Output" xfId="15" builtinId="21" customBuiltin="1"/>
    <cellStyle name="Percent" xfId="7" builtinId="5"/>
    <cellStyle name="Title" xfId="9"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0</xdr:colOff>
      <xdr:row>11</xdr:row>
      <xdr:rowOff>0</xdr:rowOff>
    </xdr:from>
    <xdr:to>
      <xdr:col>20</xdr:col>
      <xdr:colOff>184150</xdr:colOff>
      <xdr:row>12</xdr:row>
      <xdr:rowOff>6350</xdr:rowOff>
    </xdr:to>
    <xdr:pic>
      <xdr:nvPicPr>
        <xdr:cNvPr id="3" name="Picture 2">
          <a:extLst>
            <a:ext uri="{FF2B5EF4-FFF2-40B4-BE49-F238E27FC236}">
              <a16:creationId xmlns:a16="http://schemas.microsoft.com/office/drawing/2014/main" id="{49DAFE93-26EE-4944-856C-225D87466E5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28050" y="3702050"/>
          <a:ext cx="4451350" cy="19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26</xdr:col>
      <xdr:colOff>200025</xdr:colOff>
      <xdr:row>9</xdr:row>
      <xdr:rowOff>40773</xdr:rowOff>
    </xdr:from>
    <xdr:ext cx="9450111" cy="937629"/>
    <xdr:sp macro="" textlink="">
      <xdr:nvSpPr>
        <xdr:cNvPr id="3" name="Rectangle 2">
          <a:extLst>
            <a:ext uri="{FF2B5EF4-FFF2-40B4-BE49-F238E27FC236}">
              <a16:creationId xmlns:a16="http://schemas.microsoft.com/office/drawing/2014/main" id="{E951071D-71ED-7DF0-CD44-C1B89171945F}"/>
            </a:ext>
          </a:extLst>
        </xdr:cNvPr>
        <xdr:cNvSpPr/>
      </xdr:nvSpPr>
      <xdr:spPr>
        <a:xfrm>
          <a:off x="1419225" y="1755273"/>
          <a:ext cx="9450111" cy="937629"/>
        </a:xfrm>
        <a:prstGeom prst="rect">
          <a:avLst/>
        </a:prstGeom>
        <a:noFill/>
      </xdr:spPr>
      <xdr:txBody>
        <a:bodyPr wrap="square" lIns="91440" tIns="45720" rIns="91440" bIns="45720">
          <a:spAutoFit/>
        </a:bodyPr>
        <a:lstStyle/>
        <a:p>
          <a:pPr algn="ctr"/>
          <a:r>
            <a:rPr lang="en-US" sz="5400" b="1" cap="none" spc="0">
              <a:ln w="10160">
                <a:solidFill>
                  <a:schemeClr val="accent5"/>
                </a:solidFill>
                <a:prstDash val="solid"/>
              </a:ln>
              <a:solidFill>
                <a:schemeClr val="bg1">
                  <a:lumMod val="65000"/>
                </a:schemeClr>
              </a:solidFill>
              <a:effectLst>
                <a:outerShdw blurRad="38100" dist="22860" dir="5400000" algn="tl" rotWithShape="0">
                  <a:srgbClr val="000000">
                    <a:alpha val="30000"/>
                  </a:srgbClr>
                </a:outerShdw>
              </a:effectLst>
            </a:rPr>
            <a:t>Confidential</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eia.gov/tools/faqs/faq.php?id=45&amp;t=8"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3B45E-6288-47A1-8DB8-9DD2EE0C0904}">
  <sheetPr>
    <tabColor rgb="FFFF0000"/>
  </sheetPr>
  <dimension ref="A1:W18"/>
  <sheetViews>
    <sheetView tabSelected="1" view="pageBreakPreview" zoomScale="84" zoomScaleNormal="120" zoomScaleSheetLayoutView="145" workbookViewId="0">
      <selection activeCell="O4" sqref="O4"/>
    </sheetView>
  </sheetViews>
  <sheetFormatPr defaultRowHeight="15" x14ac:dyDescent="0.25"/>
  <cols>
    <col min="11" max="11" width="13.140625" customWidth="1"/>
    <col min="19" max="19" width="10.5703125" customWidth="1"/>
  </cols>
  <sheetData>
    <row r="1" spans="1:23" ht="32.25" thickBot="1" x14ac:dyDescent="0.55000000000000004">
      <c r="A1" s="149" t="s">
        <v>0</v>
      </c>
      <c r="B1" s="149"/>
      <c r="C1" s="149"/>
      <c r="D1" s="149"/>
      <c r="E1" s="149"/>
      <c r="F1" s="149"/>
      <c r="G1" s="149"/>
      <c r="H1" s="149"/>
      <c r="I1" s="149"/>
      <c r="J1" s="149"/>
      <c r="K1" s="149"/>
      <c r="L1" s="149" t="s">
        <v>0</v>
      </c>
      <c r="M1" s="149"/>
      <c r="N1" s="149"/>
      <c r="O1" s="149"/>
      <c r="P1" s="149"/>
      <c r="Q1" s="149"/>
      <c r="R1" s="149"/>
      <c r="S1" s="149"/>
      <c r="T1" s="149"/>
      <c r="U1" s="149"/>
      <c r="V1" s="149"/>
      <c r="W1" s="149"/>
    </row>
    <row r="2" spans="1:23" ht="24" thickBot="1" x14ac:dyDescent="0.4">
      <c r="A2" s="153" t="s">
        <v>1</v>
      </c>
      <c r="B2" s="153"/>
      <c r="C2" s="153"/>
      <c r="D2" s="153"/>
      <c r="E2" s="153"/>
      <c r="F2" s="153"/>
      <c r="G2" s="153"/>
      <c r="H2" s="153"/>
      <c r="I2" s="153"/>
      <c r="J2" s="153"/>
      <c r="K2" s="153"/>
      <c r="O2" s="42" t="s">
        <v>15</v>
      </c>
      <c r="P2" s="43"/>
      <c r="Q2" s="43"/>
      <c r="R2" s="43"/>
      <c r="S2" s="44"/>
    </row>
    <row r="3" spans="1:23" ht="15.75" thickBot="1" x14ac:dyDescent="0.3">
      <c r="A3" s="143" t="s">
        <v>3</v>
      </c>
      <c r="B3" s="144"/>
      <c r="C3" s="144"/>
      <c r="D3" s="145"/>
      <c r="E3" s="144" t="s">
        <v>4</v>
      </c>
      <c r="F3" s="144"/>
      <c r="G3" s="144"/>
      <c r="H3" s="144"/>
      <c r="I3" s="144"/>
      <c r="J3" s="144"/>
      <c r="K3" s="145"/>
      <c r="O3" s="5"/>
      <c r="P3" s="2" t="s">
        <v>16</v>
      </c>
      <c r="Q3" s="2"/>
      <c r="R3" s="2"/>
      <c r="S3" s="31"/>
    </row>
    <row r="4" spans="1:23" ht="30.6" customHeight="1" thickBot="1" x14ac:dyDescent="0.3">
      <c r="A4" s="143" t="s">
        <v>58</v>
      </c>
      <c r="B4" s="144"/>
      <c r="C4" s="144"/>
      <c r="D4" s="145"/>
      <c r="E4" s="147" t="s">
        <v>62</v>
      </c>
      <c r="F4" s="147"/>
      <c r="G4" s="147"/>
      <c r="H4" s="147"/>
      <c r="I4" s="147"/>
      <c r="J4" s="147"/>
      <c r="K4" s="148"/>
      <c r="O4" s="5"/>
      <c r="P4" s="2"/>
      <c r="Q4" s="2"/>
      <c r="R4" s="2"/>
      <c r="S4" s="31"/>
    </row>
    <row r="5" spans="1:23" ht="15.75" thickBot="1" x14ac:dyDescent="0.3">
      <c r="A5" s="143" t="s">
        <v>2</v>
      </c>
      <c r="B5" s="144"/>
      <c r="C5" s="144"/>
      <c r="D5" s="145"/>
      <c r="E5" s="28" t="s">
        <v>5</v>
      </c>
      <c r="F5" s="28"/>
      <c r="G5" s="28"/>
      <c r="H5" s="28"/>
      <c r="I5" s="28"/>
      <c r="J5" s="28"/>
      <c r="K5" s="4"/>
      <c r="O5" s="13"/>
      <c r="P5" s="2" t="s">
        <v>17</v>
      </c>
      <c r="Q5" s="2"/>
      <c r="R5" s="2"/>
      <c r="S5" s="31"/>
    </row>
    <row r="6" spans="1:23" ht="30.95" customHeight="1" thickBot="1" x14ac:dyDescent="0.3">
      <c r="A6" s="143" t="s">
        <v>9</v>
      </c>
      <c r="B6" s="144"/>
      <c r="C6" s="144"/>
      <c r="D6" s="145"/>
      <c r="E6" s="147" t="s">
        <v>10</v>
      </c>
      <c r="F6" s="147"/>
      <c r="G6" s="147"/>
      <c r="H6" s="147"/>
      <c r="I6" s="147"/>
      <c r="J6" s="147"/>
      <c r="K6" s="148"/>
      <c r="O6" s="11"/>
      <c r="P6" s="2" t="s">
        <v>18</v>
      </c>
      <c r="Q6" s="2"/>
      <c r="R6" s="2"/>
      <c r="S6" s="31"/>
    </row>
    <row r="7" spans="1:23" s="36" customFormat="1" ht="30.95" customHeight="1" thickBot="1" x14ac:dyDescent="0.3">
      <c r="A7" s="143" t="s">
        <v>113</v>
      </c>
      <c r="B7" s="144"/>
      <c r="C7" s="144"/>
      <c r="D7" s="145"/>
      <c r="E7" s="147" t="s">
        <v>114</v>
      </c>
      <c r="F7" s="147"/>
      <c r="G7" s="147"/>
      <c r="H7" s="147"/>
      <c r="I7" s="147"/>
      <c r="J7" s="147"/>
      <c r="K7" s="148"/>
      <c r="O7" s="11"/>
      <c r="P7" s="2"/>
      <c r="Q7" s="2"/>
      <c r="R7" s="2"/>
      <c r="S7" s="31"/>
    </row>
    <row r="8" spans="1:23" ht="15.75" thickBot="1" x14ac:dyDescent="0.3">
      <c r="A8" s="143" t="s">
        <v>20</v>
      </c>
      <c r="B8" s="144"/>
      <c r="C8" s="144"/>
      <c r="D8" s="145"/>
      <c r="E8" s="4" t="s">
        <v>21</v>
      </c>
      <c r="F8" s="28"/>
      <c r="G8" s="28"/>
      <c r="H8" s="28"/>
      <c r="I8" s="28"/>
      <c r="J8" s="28"/>
      <c r="K8" s="4"/>
      <c r="O8" s="207"/>
      <c r="P8" s="32" t="s">
        <v>19</v>
      </c>
      <c r="Q8" s="32"/>
      <c r="R8" s="32"/>
      <c r="S8" s="33"/>
    </row>
    <row r="9" spans="1:23" ht="33" customHeight="1" thickBot="1" x14ac:dyDescent="0.3">
      <c r="A9" s="143" t="s">
        <v>115</v>
      </c>
      <c r="B9" s="144"/>
      <c r="C9" s="144"/>
      <c r="D9" s="145"/>
      <c r="E9" s="146" t="s">
        <v>22</v>
      </c>
      <c r="F9" s="147"/>
      <c r="G9" s="147"/>
      <c r="H9" s="147"/>
      <c r="I9" s="147"/>
      <c r="J9" s="147"/>
      <c r="K9" s="148"/>
    </row>
    <row r="10" spans="1:23" ht="51" customHeight="1" thickBot="1" x14ac:dyDescent="0.3">
      <c r="A10" s="143" t="s">
        <v>40</v>
      </c>
      <c r="B10" s="144"/>
      <c r="C10" s="144"/>
      <c r="D10" s="145"/>
      <c r="E10" s="146" t="s">
        <v>41</v>
      </c>
      <c r="F10" s="147"/>
      <c r="G10" s="147"/>
      <c r="H10" s="147"/>
      <c r="I10" s="147"/>
      <c r="J10" s="147"/>
      <c r="K10" s="148"/>
    </row>
    <row r="11" spans="1:23" ht="15.75" thickBot="1" x14ac:dyDescent="0.3">
      <c r="A11" s="143" t="s">
        <v>47</v>
      </c>
      <c r="B11" s="144"/>
      <c r="C11" s="144"/>
      <c r="D11" s="145"/>
      <c r="E11" s="146" t="s">
        <v>48</v>
      </c>
      <c r="F11" s="147"/>
      <c r="G11" s="147"/>
      <c r="H11" s="147"/>
      <c r="I11" s="147"/>
      <c r="J11" s="147"/>
      <c r="K11" s="148"/>
      <c r="M11" s="150" t="s">
        <v>59</v>
      </c>
      <c r="N11" s="151"/>
      <c r="O11" s="151"/>
      <c r="P11" s="151"/>
      <c r="Q11" s="151"/>
      <c r="R11" s="151"/>
      <c r="S11" s="151"/>
      <c r="T11" s="151"/>
      <c r="U11" s="151"/>
      <c r="V11" s="152"/>
    </row>
    <row r="12" spans="1:23" ht="15.75" thickBot="1" x14ac:dyDescent="0.3">
      <c r="A12" s="143" t="s">
        <v>50</v>
      </c>
      <c r="B12" s="144"/>
      <c r="C12" s="144"/>
      <c r="D12" s="145"/>
      <c r="E12" s="146" t="s">
        <v>51</v>
      </c>
      <c r="F12" s="147"/>
      <c r="G12" s="147"/>
      <c r="H12" s="147"/>
      <c r="I12" s="147"/>
      <c r="J12" s="147"/>
      <c r="K12" s="148"/>
      <c r="M12" s="1"/>
      <c r="O12" s="2"/>
      <c r="P12" s="2"/>
      <c r="Q12" s="2"/>
      <c r="R12" s="2"/>
      <c r="S12" s="2"/>
      <c r="T12" s="2"/>
      <c r="U12" s="2"/>
      <c r="V12" s="31"/>
    </row>
    <row r="13" spans="1:23" ht="15.75" thickBot="1" x14ac:dyDescent="0.3">
      <c r="A13" s="143" t="s">
        <v>52</v>
      </c>
      <c r="B13" s="144"/>
      <c r="C13" s="144"/>
      <c r="D13" s="145"/>
      <c r="E13" s="146" t="s">
        <v>105</v>
      </c>
      <c r="F13" s="147"/>
      <c r="G13" s="147"/>
      <c r="H13" s="147"/>
      <c r="I13" s="147"/>
      <c r="J13" s="147"/>
      <c r="K13" s="148"/>
      <c r="M13" s="34"/>
      <c r="N13" s="32"/>
      <c r="O13" s="32"/>
      <c r="P13" s="32"/>
      <c r="Q13" s="32"/>
      <c r="R13" s="32"/>
      <c r="S13" s="32"/>
      <c r="T13" s="32"/>
      <c r="U13" s="32"/>
      <c r="V13" s="33"/>
    </row>
    <row r="14" spans="1:23" ht="15.75" thickBot="1" x14ac:dyDescent="0.3">
      <c r="A14" s="143" t="s">
        <v>53</v>
      </c>
      <c r="B14" s="144"/>
      <c r="C14" s="144"/>
      <c r="D14" s="145"/>
      <c r="E14" s="146" t="s">
        <v>55</v>
      </c>
      <c r="F14" s="147"/>
      <c r="G14" s="147"/>
      <c r="H14" s="147"/>
      <c r="I14" s="147"/>
      <c r="J14" s="147"/>
      <c r="K14" s="148"/>
    </row>
    <row r="15" spans="1:23" ht="15.75" thickBot="1" x14ac:dyDescent="0.3">
      <c r="A15" s="143" t="s">
        <v>56</v>
      </c>
      <c r="B15" s="144"/>
      <c r="C15" s="144"/>
      <c r="D15" s="145"/>
      <c r="E15" s="146" t="s">
        <v>57</v>
      </c>
      <c r="F15" s="147"/>
      <c r="G15" s="147"/>
      <c r="H15" s="147"/>
      <c r="I15" s="147"/>
      <c r="J15" s="147"/>
      <c r="K15" s="148"/>
    </row>
    <row r="16" spans="1:23" ht="44.45" customHeight="1" x14ac:dyDescent="0.25"/>
    <row r="17" ht="46.5" customHeight="1" x14ac:dyDescent="0.25"/>
    <row r="18" ht="47.45" customHeight="1" x14ac:dyDescent="0.25"/>
  </sheetData>
  <mergeCells count="28">
    <mergeCell ref="L1:W1"/>
    <mergeCell ref="M11:V11"/>
    <mergeCell ref="E4:K4"/>
    <mergeCell ref="A13:D13"/>
    <mergeCell ref="E13:K13"/>
    <mergeCell ref="A8:D8"/>
    <mergeCell ref="A9:D9"/>
    <mergeCell ref="E9:K9"/>
    <mergeCell ref="A6:D6"/>
    <mergeCell ref="E6:K6"/>
    <mergeCell ref="A7:D7"/>
    <mergeCell ref="E7:K7"/>
    <mergeCell ref="A1:K1"/>
    <mergeCell ref="A2:K2"/>
    <mergeCell ref="A3:D3"/>
    <mergeCell ref="E3:K3"/>
    <mergeCell ref="A5:D5"/>
    <mergeCell ref="A4:D4"/>
    <mergeCell ref="A15:D15"/>
    <mergeCell ref="E15:K15"/>
    <mergeCell ref="A10:D10"/>
    <mergeCell ref="E10:K10"/>
    <mergeCell ref="A11:D11"/>
    <mergeCell ref="E11:K11"/>
    <mergeCell ref="A12:D12"/>
    <mergeCell ref="E12:K12"/>
    <mergeCell ref="A14:D14"/>
    <mergeCell ref="E14:K14"/>
  </mergeCells>
  <pageMargins left="0.7" right="0.7" top="0.75" bottom="0.75" header="0.3" footer="0.3"/>
  <pageSetup scale="81" orientation="portrait" r:id="rId1"/>
  <colBreaks count="1" manualBreakCount="1">
    <brk id="11"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D1251-00FC-4B0F-8B51-331CAF727B4E}">
  <sheetPr>
    <tabColor theme="7"/>
  </sheetPr>
  <dimension ref="B1:T77"/>
  <sheetViews>
    <sheetView view="pageBreakPreview" zoomScale="70" zoomScaleNormal="70" zoomScaleSheetLayoutView="70" workbookViewId="0"/>
  </sheetViews>
  <sheetFormatPr defaultColWidth="9.140625" defaultRowHeight="15" x14ac:dyDescent="0.25"/>
  <cols>
    <col min="1" max="1" width="9.140625" style="36"/>
    <col min="2" max="2" width="26.28515625" style="36" bestFit="1" customWidth="1"/>
    <col min="3" max="3" width="21.28515625" style="36" bestFit="1" customWidth="1"/>
    <col min="4" max="4" width="28.42578125" style="60" bestFit="1" customWidth="1"/>
    <col min="5" max="5" width="42.28515625" style="36" bestFit="1" customWidth="1"/>
    <col min="6" max="6" width="13" style="36" bestFit="1" customWidth="1"/>
    <col min="7" max="7" width="22.7109375" style="36" bestFit="1" customWidth="1"/>
    <col min="8" max="8" width="13.85546875" style="36" bestFit="1" customWidth="1"/>
    <col min="9" max="9" width="9.140625" style="36"/>
    <col min="10" max="10" width="8.28515625" style="36" customWidth="1"/>
    <col min="11" max="11" width="9.140625" style="36"/>
    <col min="12" max="12" width="10.140625" style="36" bestFit="1" customWidth="1"/>
    <col min="13" max="13" width="10.42578125" style="36" bestFit="1" customWidth="1"/>
    <col min="14" max="14" width="56.85546875" style="36" bestFit="1" customWidth="1"/>
    <col min="15" max="15" width="10.5703125" style="36" bestFit="1" customWidth="1"/>
    <col min="16" max="16" width="12" style="36" bestFit="1" customWidth="1"/>
    <col min="17" max="17" width="16.140625" style="36" bestFit="1" customWidth="1"/>
    <col min="18" max="18" width="107.28515625" style="36" bestFit="1" customWidth="1"/>
    <col min="19" max="19" width="8.28515625" style="36" bestFit="1" customWidth="1"/>
    <col min="20" max="16384" width="9.140625" style="36"/>
  </cols>
  <sheetData>
    <row r="1" spans="2:20" ht="47.25" thickBot="1" x14ac:dyDescent="0.75">
      <c r="B1" s="204" t="s">
        <v>170</v>
      </c>
      <c r="C1" s="205"/>
      <c r="D1" s="205"/>
      <c r="E1" s="205"/>
      <c r="F1" s="205"/>
      <c r="G1" s="205"/>
      <c r="H1" s="206"/>
    </row>
    <row r="2" spans="2:20" ht="90" x14ac:dyDescent="0.25">
      <c r="B2" s="60" t="s">
        <v>130</v>
      </c>
      <c r="C2" s="59">
        <f>(C7*(C14+C15)+C8*C16)</f>
        <v>9.6799999999999994E-3</v>
      </c>
      <c r="D2" s="60">
        <v>8.5224800000000007E-3</v>
      </c>
      <c r="E2" s="60" t="s">
        <v>131</v>
      </c>
      <c r="F2" s="60" t="s">
        <v>132</v>
      </c>
      <c r="G2" s="60" t="s">
        <v>133</v>
      </c>
      <c r="H2" s="60" t="s">
        <v>134</v>
      </c>
      <c r="K2" s="69"/>
      <c r="L2" s="69"/>
      <c r="M2" s="70"/>
      <c r="N2" s="97"/>
      <c r="O2" s="70"/>
      <c r="P2" s="70"/>
      <c r="Q2" s="70"/>
      <c r="R2" s="70"/>
      <c r="S2" s="70"/>
      <c r="T2" s="70"/>
    </row>
    <row r="3" spans="2:20" ht="15.75" thickBot="1" x14ac:dyDescent="0.3">
      <c r="B3" s="60"/>
      <c r="C3" s="59"/>
      <c r="E3" s="101">
        <f>Q10*C2</f>
        <v>159.60638831934239</v>
      </c>
      <c r="F3" s="102">
        <f>E3*C9</f>
        <v>4309.3724846222449</v>
      </c>
      <c r="G3" s="101">
        <f>0.05306*M18*M13/N13</f>
        <v>48785.869934995084</v>
      </c>
      <c r="H3" s="106">
        <f>(F3+G3)/1000000/$C$10</f>
        <v>5.3095242419617331E-3</v>
      </c>
      <c r="J3" s="53"/>
      <c r="K3" s="69"/>
      <c r="M3" s="71"/>
      <c r="N3" s="75"/>
      <c r="O3" s="71"/>
      <c r="P3" s="111" t="s">
        <v>145</v>
      </c>
      <c r="Q3" s="111" t="s">
        <v>146</v>
      </c>
      <c r="R3" s="71"/>
      <c r="S3" s="71"/>
      <c r="T3" s="70"/>
    </row>
    <row r="4" spans="2:20" ht="15.75" thickTop="1" x14ac:dyDescent="0.25">
      <c r="B4" s="60"/>
      <c r="C4" s="59"/>
      <c r="E4" s="60"/>
      <c r="G4" s="60"/>
      <c r="H4" s="92">
        <f>SUM(F3:G3)</f>
        <v>53095.242419617331</v>
      </c>
      <c r="J4" s="53"/>
      <c r="K4" s="69"/>
      <c r="M4" s="114" t="s">
        <v>153</v>
      </c>
      <c r="N4" s="75" t="s">
        <v>154</v>
      </c>
      <c r="O4" s="75"/>
      <c r="P4" s="75">
        <v>1</v>
      </c>
      <c r="Q4" s="77">
        <f>P4/N13</f>
        <v>0.91944722832633019</v>
      </c>
      <c r="R4" s="71"/>
      <c r="S4" s="71"/>
      <c r="T4" s="70"/>
    </row>
    <row r="5" spans="2:20" x14ac:dyDescent="0.25">
      <c r="E5" s="61"/>
      <c r="G5" s="62"/>
      <c r="H5" s="63"/>
      <c r="J5" s="53"/>
      <c r="K5" s="69"/>
      <c r="M5" s="75"/>
      <c r="N5" s="75"/>
      <c r="O5" s="75"/>
      <c r="P5" s="75"/>
      <c r="Q5" s="77"/>
      <c r="R5" s="71"/>
      <c r="S5" s="71"/>
      <c r="T5" s="70"/>
    </row>
    <row r="6" spans="2:20" ht="90.75" thickBot="1" x14ac:dyDescent="0.3">
      <c r="C6" s="60" t="s">
        <v>135</v>
      </c>
      <c r="E6" s="61"/>
      <c r="F6" s="62"/>
      <c r="G6" s="63"/>
      <c r="K6" s="69"/>
      <c r="M6" s="75"/>
      <c r="N6" s="75"/>
      <c r="O6" s="75"/>
      <c r="P6" s="112" t="s">
        <v>171</v>
      </c>
      <c r="Q6" s="113" t="s">
        <v>172</v>
      </c>
      <c r="R6" s="71"/>
      <c r="S6" s="71"/>
      <c r="T6" s="70"/>
    </row>
    <row r="7" spans="2:20" ht="75.75" thickTop="1" x14ac:dyDescent="0.25">
      <c r="B7" s="60" t="s">
        <v>136</v>
      </c>
      <c r="C7" s="110">
        <v>7.7000000000000002E-3</v>
      </c>
      <c r="D7" s="93"/>
      <c r="H7" s="94"/>
      <c r="K7" s="69"/>
      <c r="M7" s="114" t="s">
        <v>156</v>
      </c>
      <c r="N7" s="75" t="s">
        <v>157</v>
      </c>
      <c r="O7" s="71"/>
      <c r="P7" s="218">
        <v>93.4</v>
      </c>
      <c r="Q7" s="81">
        <f>(P7/100)*Q4</f>
        <v>0.85876371125679241</v>
      </c>
      <c r="R7" s="98"/>
      <c r="S7" s="71"/>
      <c r="T7" s="70"/>
    </row>
    <row r="8" spans="2:20" ht="60" x14ac:dyDescent="0.25">
      <c r="B8" s="60" t="s">
        <v>137</v>
      </c>
      <c r="C8" s="110">
        <v>1.43E-2</v>
      </c>
      <c r="D8" s="93"/>
      <c r="E8" s="95"/>
      <c r="K8" s="69"/>
      <c r="M8" s="71"/>
      <c r="N8" s="75"/>
      <c r="O8" s="71"/>
      <c r="P8" s="71"/>
      <c r="Q8" s="71"/>
      <c r="R8" s="71"/>
      <c r="S8" s="71"/>
      <c r="T8" s="70"/>
    </row>
    <row r="9" spans="2:20" ht="30.75" thickBot="1" x14ac:dyDescent="0.3">
      <c r="B9" s="60" t="s">
        <v>138</v>
      </c>
      <c r="C9" s="53">
        <v>27</v>
      </c>
      <c r="D9" s="60" t="s">
        <v>181</v>
      </c>
      <c r="E9" s="88"/>
      <c r="K9" s="69"/>
      <c r="M9" s="71"/>
      <c r="N9" s="75"/>
      <c r="O9" s="71"/>
      <c r="P9" s="111" t="s">
        <v>162</v>
      </c>
      <c r="Q9" s="111" t="s">
        <v>163</v>
      </c>
      <c r="R9" s="111" t="s">
        <v>164</v>
      </c>
      <c r="S9" s="111" t="s">
        <v>165</v>
      </c>
      <c r="T9" s="70"/>
    </row>
    <row r="10" spans="2:20" ht="31.5" thickTop="1" x14ac:dyDescent="0.25">
      <c r="B10" s="60" t="s">
        <v>139</v>
      </c>
      <c r="C10" s="103">
        <v>10</v>
      </c>
      <c r="E10" s="62"/>
      <c r="F10" s="63"/>
      <c r="K10" s="69"/>
      <c r="M10" s="114" t="s">
        <v>166</v>
      </c>
      <c r="N10" s="75" t="s">
        <v>167</v>
      </c>
      <c r="O10" s="71"/>
      <c r="P10" s="81">
        <f>(Q7/P4)*(O13/M13)*(O18/L18)</f>
        <v>36.350354939730224</v>
      </c>
      <c r="Q10" s="86">
        <f>(Q7/P4)*(O13/M13)*(M18/L18)</f>
        <v>16488.263256130413</v>
      </c>
      <c r="R10" s="81">
        <f>P10*(P4/Q4)</f>
        <v>39.53500953599999</v>
      </c>
      <c r="S10" s="86">
        <f>Q10*(P4/Q4)</f>
        <v>17932.8</v>
      </c>
      <c r="T10" s="70"/>
    </row>
    <row r="11" spans="2:20" ht="15.75" thickBot="1" x14ac:dyDescent="0.3">
      <c r="B11" s="66"/>
      <c r="C11" s="66"/>
      <c r="E11" s="62"/>
      <c r="F11" s="63"/>
    </row>
    <row r="12" spans="2:20" ht="45" x14ac:dyDescent="0.25">
      <c r="D12" s="96"/>
      <c r="E12" s="62"/>
      <c r="F12" s="63"/>
      <c r="L12" s="72" t="s">
        <v>147</v>
      </c>
      <c r="M12" s="73" t="s">
        <v>148</v>
      </c>
      <c r="N12" s="73" t="s">
        <v>168</v>
      </c>
      <c r="O12" s="74" t="s">
        <v>149</v>
      </c>
      <c r="P12" s="75" t="s">
        <v>150</v>
      </c>
      <c r="Q12" s="76" t="s">
        <v>151</v>
      </c>
      <c r="R12" s="36" t="s">
        <v>152</v>
      </c>
    </row>
    <row r="13" spans="2:20" ht="90.75" thickBot="1" x14ac:dyDescent="0.3">
      <c r="B13" s="67" t="s">
        <v>140</v>
      </c>
      <c r="C13" s="36" t="s">
        <v>141</v>
      </c>
      <c r="L13" s="78" t="s">
        <v>155</v>
      </c>
      <c r="M13" s="79">
        <v>1</v>
      </c>
      <c r="N13" s="219">
        <v>1.08761</v>
      </c>
      <c r="O13" s="80">
        <v>1.9199999999999998E-2</v>
      </c>
    </row>
    <row r="14" spans="2:20" x14ac:dyDescent="0.25">
      <c r="B14" s="60" t="s">
        <v>142</v>
      </c>
      <c r="C14" s="104">
        <v>0.5</v>
      </c>
      <c r="D14" s="95"/>
    </row>
    <row r="15" spans="2:20" x14ac:dyDescent="0.25">
      <c r="B15" s="60" t="s">
        <v>143</v>
      </c>
      <c r="C15" s="104">
        <v>0.2</v>
      </c>
      <c r="D15" s="95"/>
    </row>
    <row r="16" spans="2:20" ht="15.75" thickBot="1" x14ac:dyDescent="0.3">
      <c r="B16" s="60" t="s">
        <v>144</v>
      </c>
      <c r="C16" s="104">
        <v>0.3</v>
      </c>
      <c r="D16" s="95"/>
    </row>
    <row r="17" spans="3:15" ht="30" x14ac:dyDescent="0.25">
      <c r="C17" s="68"/>
      <c r="L17" s="72" t="s">
        <v>158</v>
      </c>
      <c r="M17" s="73" t="s">
        <v>159</v>
      </c>
      <c r="N17" s="73" t="s">
        <v>160</v>
      </c>
      <c r="O17" s="82" t="s">
        <v>161</v>
      </c>
    </row>
    <row r="18" spans="3:15" ht="15.75" thickBot="1" x14ac:dyDescent="0.3">
      <c r="L18" s="83">
        <v>1</v>
      </c>
      <c r="M18" s="84">
        <v>1000000</v>
      </c>
      <c r="N18" s="79">
        <v>1.1023099999999999</v>
      </c>
      <c r="O18" s="85">
        <v>2204.62</v>
      </c>
    </row>
    <row r="19" spans="3:15" x14ac:dyDescent="0.25">
      <c r="K19" s="71"/>
    </row>
    <row r="20" spans="3:15" x14ac:dyDescent="0.25">
      <c r="K20" s="71"/>
    </row>
    <row r="21" spans="3:15" x14ac:dyDescent="0.25">
      <c r="K21" s="71"/>
    </row>
    <row r="22" spans="3:15" x14ac:dyDescent="0.25">
      <c r="K22" s="71"/>
    </row>
    <row r="23" spans="3:15" x14ac:dyDescent="0.25">
      <c r="K23" s="71"/>
    </row>
    <row r="24" spans="3:15" x14ac:dyDescent="0.25">
      <c r="K24" s="71"/>
    </row>
    <row r="25" spans="3:15" x14ac:dyDescent="0.25">
      <c r="K25" s="71"/>
    </row>
    <row r="26" spans="3:15" x14ac:dyDescent="0.25">
      <c r="K26" s="71"/>
    </row>
    <row r="27" spans="3:15" x14ac:dyDescent="0.25">
      <c r="K27" s="71"/>
    </row>
    <row r="66" spans="3:4" x14ac:dyDescent="0.25">
      <c r="D66" s="64"/>
    </row>
    <row r="67" spans="3:4" x14ac:dyDescent="0.25">
      <c r="C67" s="87"/>
      <c r="D67" s="99"/>
    </row>
    <row r="68" spans="3:4" x14ac:dyDescent="0.25">
      <c r="C68" s="64"/>
      <c r="D68" s="99"/>
    </row>
    <row r="71" spans="3:4" x14ac:dyDescent="0.25">
      <c r="C71" s="88"/>
    </row>
    <row r="72" spans="3:4" x14ac:dyDescent="0.25">
      <c r="C72" s="66"/>
      <c r="D72" s="65"/>
    </row>
    <row r="74" spans="3:4" x14ac:dyDescent="0.25">
      <c r="C74" s="89"/>
    </row>
    <row r="75" spans="3:4" x14ac:dyDescent="0.25">
      <c r="D75" s="100"/>
    </row>
    <row r="76" spans="3:4" x14ac:dyDescent="0.25">
      <c r="D76" s="100"/>
    </row>
    <row r="77" spans="3:4" x14ac:dyDescent="0.25">
      <c r="D77" s="100"/>
    </row>
  </sheetData>
  <mergeCells count="1">
    <mergeCell ref="B1:H1"/>
  </mergeCells>
  <hyperlinks>
    <hyperlink ref="L13" r:id="rId1" xr:uid="{7163A7D3-3196-4170-8223-3C4430312098}"/>
  </hyperlinks>
  <pageMargins left="0.7" right="0.7" top="0.75" bottom="0.75" header="0.3" footer="0.3"/>
  <pageSetup scale="35" fitToWidth="0" fitToHeight="0" orientation="portrait" r:id="rId2"/>
  <colBreaks count="1" manualBreakCount="1">
    <brk id="9" max="1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9D921-6C79-4FA4-8C8C-39E579F0FFCB}">
  <sheetPr>
    <tabColor rgb="FFFFC000"/>
  </sheetPr>
  <dimension ref="A1:F30"/>
  <sheetViews>
    <sheetView view="pageBreakPreview" zoomScale="60" zoomScaleNormal="100" workbookViewId="0">
      <selection sqref="A1:F3"/>
    </sheetView>
  </sheetViews>
  <sheetFormatPr defaultRowHeight="15" x14ac:dyDescent="0.25"/>
  <sheetData>
    <row r="1" spans="1:6" s="36" customFormat="1" x14ac:dyDescent="0.25">
      <c r="A1" s="194" t="s">
        <v>122</v>
      </c>
      <c r="B1" s="195"/>
      <c r="C1" s="195"/>
      <c r="D1" s="195"/>
      <c r="E1" s="195"/>
      <c r="F1" s="196"/>
    </row>
    <row r="2" spans="1:6" s="36" customFormat="1" x14ac:dyDescent="0.25">
      <c r="A2" s="201"/>
      <c r="B2" s="202"/>
      <c r="C2" s="202"/>
      <c r="D2" s="202"/>
      <c r="E2" s="202"/>
      <c r="F2" s="203"/>
    </row>
    <row r="3" spans="1:6" s="36" customFormat="1" ht="15.75" thickBot="1" x14ac:dyDescent="0.3">
      <c r="A3" s="197"/>
      <c r="B3" s="198"/>
      <c r="C3" s="198"/>
      <c r="D3" s="198"/>
      <c r="E3" s="198"/>
      <c r="F3" s="199"/>
    </row>
    <row r="4" spans="1:6" x14ac:dyDescent="0.25">
      <c r="A4" s="208"/>
      <c r="B4" s="216" t="s">
        <v>30</v>
      </c>
      <c r="C4" s="43"/>
      <c r="D4" s="43"/>
      <c r="E4" s="19" t="s">
        <v>49</v>
      </c>
      <c r="F4" s="108">
        <v>0.1</v>
      </c>
    </row>
    <row r="5" spans="1:6" x14ac:dyDescent="0.25">
      <c r="A5" s="210">
        <f>'CARBON TAX'!A6</f>
        <v>2025</v>
      </c>
      <c r="B5" s="220">
        <f>$F$4+1</f>
        <v>1.1000000000000001</v>
      </c>
      <c r="C5" s="2"/>
      <c r="D5" s="2"/>
      <c r="E5" s="2"/>
      <c r="F5" s="31"/>
    </row>
    <row r="6" spans="1:6" x14ac:dyDescent="0.25">
      <c r="A6" s="210">
        <f>'CARBON TAX'!A7</f>
        <v>2026</v>
      </c>
      <c r="B6" s="220">
        <f t="shared" ref="B6:B30" si="0">$F$4+1</f>
        <v>1.1000000000000001</v>
      </c>
      <c r="C6" s="2"/>
      <c r="D6" s="2"/>
      <c r="E6" s="2"/>
      <c r="F6" s="31"/>
    </row>
    <row r="7" spans="1:6" x14ac:dyDescent="0.25">
      <c r="A7" s="210">
        <f>'CARBON TAX'!A8</f>
        <v>2027</v>
      </c>
      <c r="B7" s="220">
        <f t="shared" si="0"/>
        <v>1.1000000000000001</v>
      </c>
      <c r="C7" s="2"/>
      <c r="D7" s="2"/>
      <c r="E7" s="2"/>
      <c r="F7" s="31"/>
    </row>
    <row r="8" spans="1:6" x14ac:dyDescent="0.25">
      <c r="A8" s="210">
        <f>'CARBON TAX'!A9</f>
        <v>2028</v>
      </c>
      <c r="B8" s="220">
        <f t="shared" si="0"/>
        <v>1.1000000000000001</v>
      </c>
      <c r="C8" s="2"/>
      <c r="D8" s="2"/>
      <c r="E8" s="2"/>
      <c r="F8" s="31"/>
    </row>
    <row r="9" spans="1:6" x14ac:dyDescent="0.25">
      <c r="A9" s="210">
        <f>'CARBON TAX'!A10</f>
        <v>2029</v>
      </c>
      <c r="B9" s="220">
        <f t="shared" si="0"/>
        <v>1.1000000000000001</v>
      </c>
      <c r="C9" s="2"/>
      <c r="D9" s="2"/>
      <c r="E9" s="2"/>
      <c r="F9" s="31"/>
    </row>
    <row r="10" spans="1:6" x14ac:dyDescent="0.25">
      <c r="A10" s="210">
        <f>'CARBON TAX'!A11</f>
        <v>2030</v>
      </c>
      <c r="B10" s="220">
        <f t="shared" si="0"/>
        <v>1.1000000000000001</v>
      </c>
      <c r="C10" s="2"/>
      <c r="D10" s="2"/>
      <c r="E10" s="2"/>
      <c r="F10" s="31"/>
    </row>
    <row r="11" spans="1:6" x14ac:dyDescent="0.25">
      <c r="A11" s="210">
        <f>'CARBON TAX'!A12</f>
        <v>2031</v>
      </c>
      <c r="B11" s="220">
        <f t="shared" si="0"/>
        <v>1.1000000000000001</v>
      </c>
      <c r="C11" s="2"/>
      <c r="D11" s="2"/>
      <c r="E11" s="2"/>
      <c r="F11" s="31"/>
    </row>
    <row r="12" spans="1:6" x14ac:dyDescent="0.25">
      <c r="A12" s="210">
        <f>'CARBON TAX'!A13</f>
        <v>2032</v>
      </c>
      <c r="B12" s="220">
        <f t="shared" si="0"/>
        <v>1.1000000000000001</v>
      </c>
      <c r="C12" s="2"/>
      <c r="D12" s="2"/>
      <c r="E12" s="2"/>
      <c r="F12" s="31"/>
    </row>
    <row r="13" spans="1:6" x14ac:dyDescent="0.25">
      <c r="A13" s="210">
        <f>'CARBON TAX'!A14</f>
        <v>2033</v>
      </c>
      <c r="B13" s="220">
        <f t="shared" si="0"/>
        <v>1.1000000000000001</v>
      </c>
      <c r="C13" s="2"/>
      <c r="D13" s="2"/>
      <c r="E13" s="2"/>
      <c r="F13" s="31"/>
    </row>
    <row r="14" spans="1:6" x14ac:dyDescent="0.25">
      <c r="A14" s="210">
        <f>'CARBON TAX'!A15</f>
        <v>2034</v>
      </c>
      <c r="B14" s="220">
        <f t="shared" si="0"/>
        <v>1.1000000000000001</v>
      </c>
      <c r="C14" s="2"/>
      <c r="D14" s="2"/>
      <c r="E14" s="2"/>
      <c r="F14" s="31"/>
    </row>
    <row r="15" spans="1:6" x14ac:dyDescent="0.25">
      <c r="A15" s="210">
        <f>'CARBON TAX'!A16</f>
        <v>2035</v>
      </c>
      <c r="B15" s="220">
        <f t="shared" si="0"/>
        <v>1.1000000000000001</v>
      </c>
      <c r="C15" s="2"/>
      <c r="D15" s="2"/>
      <c r="E15" s="2"/>
      <c r="F15" s="31"/>
    </row>
    <row r="16" spans="1:6" x14ac:dyDescent="0.25">
      <c r="A16" s="210">
        <f>'CARBON TAX'!A17</f>
        <v>2036</v>
      </c>
      <c r="B16" s="220">
        <f t="shared" si="0"/>
        <v>1.1000000000000001</v>
      </c>
      <c r="C16" s="2"/>
      <c r="D16" s="2"/>
      <c r="E16" s="2"/>
      <c r="F16" s="31"/>
    </row>
    <row r="17" spans="1:6" x14ac:dyDescent="0.25">
      <c r="A17" s="210">
        <f>'CARBON TAX'!A18</f>
        <v>2037</v>
      </c>
      <c r="B17" s="220">
        <f t="shared" si="0"/>
        <v>1.1000000000000001</v>
      </c>
      <c r="C17" s="2"/>
      <c r="D17" s="2"/>
      <c r="E17" s="2"/>
      <c r="F17" s="31"/>
    </row>
    <row r="18" spans="1:6" x14ac:dyDescent="0.25">
      <c r="A18" s="210">
        <f>'CARBON TAX'!A19</f>
        <v>2038</v>
      </c>
      <c r="B18" s="220">
        <f t="shared" si="0"/>
        <v>1.1000000000000001</v>
      </c>
      <c r="C18" s="2"/>
      <c r="D18" s="2"/>
      <c r="E18" s="2"/>
      <c r="F18" s="31"/>
    </row>
    <row r="19" spans="1:6" x14ac:dyDescent="0.25">
      <c r="A19" s="210">
        <f>'CARBON TAX'!A20</f>
        <v>2039</v>
      </c>
      <c r="B19" s="220">
        <f t="shared" si="0"/>
        <v>1.1000000000000001</v>
      </c>
      <c r="C19" s="2"/>
      <c r="D19" s="2"/>
      <c r="E19" s="2"/>
      <c r="F19" s="31"/>
    </row>
    <row r="20" spans="1:6" x14ac:dyDescent="0.25">
      <c r="A20" s="210">
        <f>'CARBON TAX'!A21</f>
        <v>2040</v>
      </c>
      <c r="B20" s="220">
        <f t="shared" si="0"/>
        <v>1.1000000000000001</v>
      </c>
      <c r="C20" s="2"/>
      <c r="D20" s="2"/>
      <c r="E20" s="2"/>
      <c r="F20" s="31"/>
    </row>
    <row r="21" spans="1:6" x14ac:dyDescent="0.25">
      <c r="A21" s="210">
        <f>'CARBON TAX'!A22</f>
        <v>2041</v>
      </c>
      <c r="B21" s="220">
        <f t="shared" si="0"/>
        <v>1.1000000000000001</v>
      </c>
      <c r="C21" s="2"/>
      <c r="D21" s="2"/>
      <c r="E21" s="2"/>
      <c r="F21" s="31"/>
    </row>
    <row r="22" spans="1:6" x14ac:dyDescent="0.25">
      <c r="A22" s="210">
        <f>'CARBON TAX'!A23</f>
        <v>2042</v>
      </c>
      <c r="B22" s="220">
        <f t="shared" si="0"/>
        <v>1.1000000000000001</v>
      </c>
      <c r="C22" s="2"/>
      <c r="D22" s="2"/>
      <c r="E22" s="2"/>
      <c r="F22" s="31"/>
    </row>
    <row r="23" spans="1:6" x14ac:dyDescent="0.25">
      <c r="A23" s="210">
        <f>'CARBON TAX'!A24</f>
        <v>2043</v>
      </c>
      <c r="B23" s="220">
        <f t="shared" si="0"/>
        <v>1.1000000000000001</v>
      </c>
      <c r="C23" s="2"/>
      <c r="D23" s="2"/>
      <c r="E23" s="2"/>
      <c r="F23" s="31"/>
    </row>
    <row r="24" spans="1:6" ht="15.75" thickBot="1" x14ac:dyDescent="0.3">
      <c r="A24" s="210">
        <f>'CARBON TAX'!A25</f>
        <v>2044</v>
      </c>
      <c r="B24" s="220">
        <f t="shared" si="0"/>
        <v>1.1000000000000001</v>
      </c>
      <c r="C24" s="32"/>
      <c r="D24" s="32"/>
      <c r="E24" s="32"/>
      <c r="F24" s="33"/>
    </row>
    <row r="25" spans="1:6" x14ac:dyDescent="0.25">
      <c r="A25" s="210">
        <f>'CARBON TAX'!A26</f>
        <v>2045</v>
      </c>
      <c r="B25" s="220">
        <f t="shared" si="0"/>
        <v>1.1000000000000001</v>
      </c>
    </row>
    <row r="26" spans="1:6" x14ac:dyDescent="0.25">
      <c r="A26" s="210">
        <f>'CARBON TAX'!A27</f>
        <v>2046</v>
      </c>
      <c r="B26" s="220">
        <f t="shared" si="0"/>
        <v>1.1000000000000001</v>
      </c>
    </row>
    <row r="27" spans="1:6" x14ac:dyDescent="0.25">
      <c r="A27" s="210">
        <f>'CARBON TAX'!A28</f>
        <v>2047</v>
      </c>
      <c r="B27" s="220">
        <f t="shared" si="0"/>
        <v>1.1000000000000001</v>
      </c>
    </row>
    <row r="28" spans="1:6" x14ac:dyDescent="0.25">
      <c r="A28" s="210">
        <f>'CARBON TAX'!A29</f>
        <v>2048</v>
      </c>
      <c r="B28" s="220">
        <f t="shared" si="0"/>
        <v>1.1000000000000001</v>
      </c>
    </row>
    <row r="29" spans="1:6" x14ac:dyDescent="0.25">
      <c r="A29" s="210">
        <f>'CARBON TAX'!A30</f>
        <v>2049</v>
      </c>
      <c r="B29" s="220">
        <f t="shared" si="0"/>
        <v>1.1000000000000001</v>
      </c>
    </row>
    <row r="30" spans="1:6" ht="15.75" thickBot="1" x14ac:dyDescent="0.3">
      <c r="A30" s="207">
        <f>'CARBON TAX'!A31</f>
        <v>2050</v>
      </c>
      <c r="B30" s="221">
        <f t="shared" si="0"/>
        <v>1.1000000000000001</v>
      </c>
    </row>
  </sheetData>
  <mergeCells count="1">
    <mergeCell ref="A1:F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E6E9C-2B1C-4A55-8EA6-EFFDAADD13A7}">
  <sheetPr>
    <tabColor rgb="FFFFFF00"/>
  </sheetPr>
  <dimension ref="A1:P30"/>
  <sheetViews>
    <sheetView view="pageBreakPreview" zoomScale="118" zoomScaleNormal="100" zoomScaleSheetLayoutView="118" workbookViewId="0">
      <selection sqref="A1:H3"/>
    </sheetView>
  </sheetViews>
  <sheetFormatPr defaultRowHeight="15" x14ac:dyDescent="0.25"/>
  <cols>
    <col min="1" max="1" width="6" bestFit="1" customWidth="1"/>
    <col min="2" max="4" width="8.140625" bestFit="1" customWidth="1"/>
    <col min="5" max="5" width="7" bestFit="1" customWidth="1"/>
    <col min="6" max="6" width="7.5703125" bestFit="1" customWidth="1"/>
    <col min="7" max="7" width="11.5703125" bestFit="1" customWidth="1"/>
    <col min="8" max="8" width="8.140625" bestFit="1" customWidth="1"/>
    <col min="9" max="9" width="5.140625" customWidth="1"/>
    <col min="10" max="10" width="8.7109375" style="53"/>
  </cols>
  <sheetData>
    <row r="1" spans="1:10" s="36" customFormat="1" x14ac:dyDescent="0.25">
      <c r="A1" s="194" t="s">
        <v>182</v>
      </c>
      <c r="B1" s="195"/>
      <c r="C1" s="195"/>
      <c r="D1" s="195"/>
      <c r="E1" s="195"/>
      <c r="F1" s="195"/>
      <c r="G1" s="195"/>
      <c r="H1" s="196"/>
      <c r="J1" s="53"/>
    </row>
    <row r="2" spans="1:10" s="36" customFormat="1" x14ac:dyDescent="0.25">
      <c r="A2" s="201"/>
      <c r="B2" s="202"/>
      <c r="C2" s="202"/>
      <c r="D2" s="202"/>
      <c r="E2" s="202"/>
      <c r="F2" s="202"/>
      <c r="G2" s="202"/>
      <c r="H2" s="203"/>
      <c r="J2" s="53"/>
    </row>
    <row r="3" spans="1:10" s="36" customFormat="1" ht="15.75" thickBot="1" x14ac:dyDescent="0.3">
      <c r="A3" s="197"/>
      <c r="B3" s="198"/>
      <c r="C3" s="198"/>
      <c r="D3" s="198"/>
      <c r="E3" s="198"/>
      <c r="F3" s="198"/>
      <c r="G3" s="198"/>
      <c r="H3" s="199"/>
      <c r="J3" s="53"/>
    </row>
    <row r="4" spans="1:10" x14ac:dyDescent="0.25">
      <c r="A4" s="208" t="s">
        <v>44</v>
      </c>
      <c r="B4" s="216" t="s">
        <v>24</v>
      </c>
      <c r="C4" s="216" t="s">
        <v>25</v>
      </c>
      <c r="D4" s="216" t="s">
        <v>26</v>
      </c>
      <c r="E4" s="216" t="s">
        <v>27</v>
      </c>
      <c r="F4" s="216" t="s">
        <v>28</v>
      </c>
      <c r="G4" s="216" t="s">
        <v>29</v>
      </c>
      <c r="H4" s="209" t="s">
        <v>30</v>
      </c>
    </row>
    <row r="5" spans="1:10" x14ac:dyDescent="0.25">
      <c r="A5" s="210">
        <f>'RISK PREMIUM'!A6</f>
        <v>2025</v>
      </c>
      <c r="B5" s="222">
        <v>0</v>
      </c>
      <c r="C5" s="222">
        <v>0</v>
      </c>
      <c r="D5" s="222">
        <v>0</v>
      </c>
      <c r="E5" s="222">
        <v>0</v>
      </c>
      <c r="F5" s="222">
        <v>0</v>
      </c>
      <c r="G5" s="222">
        <v>0</v>
      </c>
      <c r="H5" s="223">
        <v>0</v>
      </c>
    </row>
    <row r="6" spans="1:10" x14ac:dyDescent="0.25">
      <c r="A6" s="210">
        <f>'RISK PREMIUM'!A7</f>
        <v>2026</v>
      </c>
      <c r="B6" s="222">
        <v>0</v>
      </c>
      <c r="C6" s="222">
        <v>0</v>
      </c>
      <c r="D6" s="222">
        <v>0</v>
      </c>
      <c r="E6" s="222">
        <v>0</v>
      </c>
      <c r="F6" s="222">
        <v>0</v>
      </c>
      <c r="G6" s="222">
        <v>0</v>
      </c>
      <c r="H6" s="223">
        <v>0</v>
      </c>
    </row>
    <row r="7" spans="1:10" ht="14.1" customHeight="1" x14ac:dyDescent="0.25">
      <c r="A7" s="210">
        <f>'RISK PREMIUM'!A8</f>
        <v>2027</v>
      </c>
      <c r="B7" s="222">
        <v>0</v>
      </c>
      <c r="C7" s="222">
        <v>0</v>
      </c>
      <c r="D7" s="222">
        <v>0</v>
      </c>
      <c r="E7" s="222">
        <v>0</v>
      </c>
      <c r="F7" s="222">
        <v>0</v>
      </c>
      <c r="G7" s="222">
        <v>0</v>
      </c>
      <c r="H7" s="223">
        <v>0</v>
      </c>
    </row>
    <row r="8" spans="1:10" ht="14.45" customHeight="1" x14ac:dyDescent="0.25">
      <c r="A8" s="210">
        <f>'RISK PREMIUM'!A9</f>
        <v>2028</v>
      </c>
      <c r="B8" s="222">
        <v>0</v>
      </c>
      <c r="C8" s="222">
        <v>0</v>
      </c>
      <c r="D8" s="222">
        <v>0</v>
      </c>
      <c r="E8" s="222">
        <v>0</v>
      </c>
      <c r="F8" s="222">
        <v>0</v>
      </c>
      <c r="G8" s="222">
        <v>0</v>
      </c>
      <c r="H8" s="223">
        <v>0</v>
      </c>
    </row>
    <row r="9" spans="1:10" ht="15" customHeight="1" x14ac:dyDescent="0.25">
      <c r="A9" s="210">
        <f>'RISK PREMIUM'!A10</f>
        <v>2029</v>
      </c>
      <c r="B9" s="222">
        <v>0</v>
      </c>
      <c r="C9" s="222">
        <v>0</v>
      </c>
      <c r="D9" s="222">
        <v>0</v>
      </c>
      <c r="E9" s="222">
        <v>0</v>
      </c>
      <c r="F9" s="222">
        <v>0</v>
      </c>
      <c r="G9" s="222">
        <v>0</v>
      </c>
      <c r="H9" s="223">
        <v>0</v>
      </c>
    </row>
    <row r="10" spans="1:10" x14ac:dyDescent="0.25">
      <c r="A10" s="210">
        <f>'RISK PREMIUM'!A11</f>
        <v>2030</v>
      </c>
      <c r="B10" s="222">
        <v>0</v>
      </c>
      <c r="C10" s="222">
        <v>0</v>
      </c>
      <c r="D10" s="222">
        <v>0</v>
      </c>
      <c r="E10" s="222">
        <v>0</v>
      </c>
      <c r="F10" s="222">
        <v>0</v>
      </c>
      <c r="G10" s="222">
        <v>0</v>
      </c>
      <c r="H10" s="223">
        <v>0</v>
      </c>
    </row>
    <row r="11" spans="1:10" x14ac:dyDescent="0.25">
      <c r="A11" s="210">
        <f>'RISK PREMIUM'!A12</f>
        <v>2031</v>
      </c>
      <c r="B11" s="222">
        <v>0</v>
      </c>
      <c r="C11" s="222">
        <v>0</v>
      </c>
      <c r="D11" s="222">
        <v>0</v>
      </c>
      <c r="E11" s="222">
        <v>0</v>
      </c>
      <c r="F11" s="222">
        <v>0</v>
      </c>
      <c r="G11" s="222">
        <v>0</v>
      </c>
      <c r="H11" s="223">
        <v>0</v>
      </c>
    </row>
    <row r="12" spans="1:10" x14ac:dyDescent="0.25">
      <c r="A12" s="210">
        <f>'RISK PREMIUM'!A13</f>
        <v>2032</v>
      </c>
      <c r="B12" s="222">
        <v>0</v>
      </c>
      <c r="C12" s="222">
        <v>0</v>
      </c>
      <c r="D12" s="222">
        <v>0</v>
      </c>
      <c r="E12" s="222">
        <v>0</v>
      </c>
      <c r="F12" s="222">
        <v>0</v>
      </c>
      <c r="G12" s="222">
        <v>0</v>
      </c>
      <c r="H12" s="223">
        <v>0</v>
      </c>
    </row>
    <row r="13" spans="1:10" x14ac:dyDescent="0.25">
      <c r="A13" s="210">
        <f>'RISK PREMIUM'!A14</f>
        <v>2033</v>
      </c>
      <c r="B13" s="222">
        <v>0</v>
      </c>
      <c r="C13" s="222">
        <v>0</v>
      </c>
      <c r="D13" s="222">
        <v>0</v>
      </c>
      <c r="E13" s="222">
        <v>0</v>
      </c>
      <c r="F13" s="222">
        <v>0</v>
      </c>
      <c r="G13" s="222">
        <v>0</v>
      </c>
      <c r="H13" s="223">
        <v>0</v>
      </c>
    </row>
    <row r="14" spans="1:10" x14ac:dyDescent="0.25">
      <c r="A14" s="210">
        <f>'RISK PREMIUM'!A15</f>
        <v>2034</v>
      </c>
      <c r="B14" s="222">
        <v>0</v>
      </c>
      <c r="C14" s="222">
        <v>0</v>
      </c>
      <c r="D14" s="222">
        <v>0</v>
      </c>
      <c r="E14" s="222">
        <v>0</v>
      </c>
      <c r="F14" s="222">
        <v>0</v>
      </c>
      <c r="G14" s="222">
        <v>0</v>
      </c>
      <c r="H14" s="223">
        <v>0</v>
      </c>
    </row>
    <row r="15" spans="1:10" x14ac:dyDescent="0.25">
      <c r="A15" s="210">
        <f>'RISK PREMIUM'!A16</f>
        <v>2035</v>
      </c>
      <c r="B15" s="222">
        <v>0</v>
      </c>
      <c r="C15" s="222">
        <v>0</v>
      </c>
      <c r="D15" s="222">
        <v>0</v>
      </c>
      <c r="E15" s="222">
        <v>0</v>
      </c>
      <c r="F15" s="222">
        <v>0</v>
      </c>
      <c r="G15" s="222">
        <v>0</v>
      </c>
      <c r="H15" s="223">
        <v>0</v>
      </c>
    </row>
    <row r="16" spans="1:10" x14ac:dyDescent="0.25">
      <c r="A16" s="210">
        <f>'RISK PREMIUM'!A17</f>
        <v>2036</v>
      </c>
      <c r="B16" s="222">
        <v>0</v>
      </c>
      <c r="C16" s="222">
        <v>0</v>
      </c>
      <c r="D16" s="222">
        <v>0</v>
      </c>
      <c r="E16" s="222">
        <v>0</v>
      </c>
      <c r="F16" s="222">
        <v>0</v>
      </c>
      <c r="G16" s="222">
        <v>0</v>
      </c>
      <c r="H16" s="223">
        <v>0</v>
      </c>
    </row>
    <row r="17" spans="1:16" x14ac:dyDescent="0.25">
      <c r="A17" s="210">
        <f>'RISK PREMIUM'!A18</f>
        <v>2037</v>
      </c>
      <c r="B17" s="222">
        <v>0</v>
      </c>
      <c r="C17" s="222">
        <v>0</v>
      </c>
      <c r="D17" s="222">
        <v>0</v>
      </c>
      <c r="E17" s="222">
        <v>0</v>
      </c>
      <c r="F17" s="222">
        <v>0</v>
      </c>
      <c r="G17" s="222">
        <v>0</v>
      </c>
      <c r="H17" s="223">
        <v>0</v>
      </c>
    </row>
    <row r="18" spans="1:16" x14ac:dyDescent="0.25">
      <c r="A18" s="210">
        <f>'RISK PREMIUM'!A19</f>
        <v>2038</v>
      </c>
      <c r="B18" s="222">
        <v>0</v>
      </c>
      <c r="C18" s="222">
        <v>0</v>
      </c>
      <c r="D18" s="222">
        <v>0</v>
      </c>
      <c r="E18" s="222">
        <v>0</v>
      </c>
      <c r="F18" s="222">
        <v>0</v>
      </c>
      <c r="G18" s="222">
        <v>0</v>
      </c>
      <c r="H18" s="223">
        <v>0</v>
      </c>
    </row>
    <row r="19" spans="1:16" x14ac:dyDescent="0.25">
      <c r="A19" s="210">
        <f>'RISK PREMIUM'!A20</f>
        <v>2039</v>
      </c>
      <c r="B19" s="222">
        <v>0</v>
      </c>
      <c r="C19" s="222">
        <v>0</v>
      </c>
      <c r="D19" s="222">
        <v>0</v>
      </c>
      <c r="E19" s="222">
        <v>0</v>
      </c>
      <c r="F19" s="222">
        <v>0</v>
      </c>
      <c r="G19" s="222">
        <v>0</v>
      </c>
      <c r="H19" s="223">
        <v>0</v>
      </c>
    </row>
    <row r="20" spans="1:16" s="3" customFormat="1" x14ac:dyDescent="0.25">
      <c r="A20" s="210">
        <f>'RISK PREMIUM'!A21</f>
        <v>2040</v>
      </c>
      <c r="B20" s="222">
        <v>0</v>
      </c>
      <c r="C20" s="222">
        <v>0</v>
      </c>
      <c r="D20" s="222">
        <v>0</v>
      </c>
      <c r="E20" s="222">
        <v>0</v>
      </c>
      <c r="F20" s="222">
        <v>0</v>
      </c>
      <c r="G20" s="222">
        <v>0</v>
      </c>
      <c r="H20" s="223">
        <v>0</v>
      </c>
      <c r="I20"/>
      <c r="J20" s="53"/>
      <c r="K20"/>
      <c r="L20"/>
      <c r="M20"/>
      <c r="N20"/>
      <c r="O20"/>
      <c r="P20"/>
    </row>
    <row r="21" spans="1:16" s="3" customFormat="1" x14ac:dyDescent="0.25">
      <c r="A21" s="210">
        <f>'RISK PREMIUM'!A22</f>
        <v>2041</v>
      </c>
      <c r="B21" s="222">
        <v>0</v>
      </c>
      <c r="C21" s="222">
        <v>0</v>
      </c>
      <c r="D21" s="222">
        <v>0</v>
      </c>
      <c r="E21" s="222">
        <v>0</v>
      </c>
      <c r="F21" s="222">
        <v>0</v>
      </c>
      <c r="G21" s="222">
        <v>0</v>
      </c>
      <c r="H21" s="223">
        <v>0</v>
      </c>
      <c r="I21"/>
      <c r="J21" s="53"/>
      <c r="K21"/>
      <c r="L21"/>
      <c r="M21"/>
      <c r="N21"/>
      <c r="O21"/>
      <c r="P21"/>
    </row>
    <row r="22" spans="1:16" s="3" customFormat="1" x14ac:dyDescent="0.25">
      <c r="A22" s="210">
        <f>'RISK PREMIUM'!A23</f>
        <v>2042</v>
      </c>
      <c r="B22" s="222">
        <v>0</v>
      </c>
      <c r="C22" s="222">
        <v>0</v>
      </c>
      <c r="D22" s="222">
        <v>0</v>
      </c>
      <c r="E22" s="222">
        <v>0</v>
      </c>
      <c r="F22" s="222">
        <v>0</v>
      </c>
      <c r="G22" s="222">
        <v>0</v>
      </c>
      <c r="H22" s="223">
        <v>0</v>
      </c>
      <c r="I22"/>
      <c r="J22" s="53"/>
      <c r="K22"/>
      <c r="L22"/>
      <c r="M22"/>
      <c r="N22"/>
      <c r="O22"/>
    </row>
    <row r="23" spans="1:16" s="3" customFormat="1" x14ac:dyDescent="0.25">
      <c r="A23" s="210">
        <f>'RISK PREMIUM'!A24</f>
        <v>2043</v>
      </c>
      <c r="B23" s="222">
        <v>0</v>
      </c>
      <c r="C23" s="222">
        <v>0</v>
      </c>
      <c r="D23" s="222">
        <v>0</v>
      </c>
      <c r="E23" s="222">
        <v>0</v>
      </c>
      <c r="F23" s="222">
        <v>0</v>
      </c>
      <c r="G23" s="222">
        <v>0</v>
      </c>
      <c r="H23" s="223">
        <v>0</v>
      </c>
      <c r="I23"/>
      <c r="J23" s="53"/>
      <c r="K23"/>
      <c r="L23"/>
      <c r="M23"/>
      <c r="N23"/>
      <c r="O23"/>
      <c r="P23"/>
    </row>
    <row r="24" spans="1:16" s="3" customFormat="1" x14ac:dyDescent="0.25">
      <c r="A24" s="210">
        <f>'RISK PREMIUM'!A25</f>
        <v>2044</v>
      </c>
      <c r="B24" s="222">
        <v>0</v>
      </c>
      <c r="C24" s="222">
        <v>0</v>
      </c>
      <c r="D24" s="222">
        <v>0</v>
      </c>
      <c r="E24" s="222">
        <v>0</v>
      </c>
      <c r="F24" s="222">
        <v>0</v>
      </c>
      <c r="G24" s="222">
        <v>0</v>
      </c>
      <c r="H24" s="223">
        <v>0</v>
      </c>
      <c r="I24"/>
      <c r="J24" s="53"/>
      <c r="K24"/>
      <c r="L24"/>
      <c r="M24"/>
      <c r="N24"/>
      <c r="O24"/>
      <c r="P24"/>
    </row>
    <row r="25" spans="1:16" s="3" customFormat="1" x14ac:dyDescent="0.25">
      <c r="A25" s="210">
        <f>'RISK PREMIUM'!A26</f>
        <v>2045</v>
      </c>
      <c r="B25" s="222">
        <v>0</v>
      </c>
      <c r="C25" s="222">
        <v>0</v>
      </c>
      <c r="D25" s="222">
        <v>0</v>
      </c>
      <c r="E25" s="222">
        <v>0</v>
      </c>
      <c r="F25" s="222">
        <v>0</v>
      </c>
      <c r="G25" s="222">
        <v>0</v>
      </c>
      <c r="H25" s="223">
        <v>0</v>
      </c>
      <c r="I25"/>
      <c r="J25" s="53"/>
      <c r="K25"/>
      <c r="L25"/>
      <c r="M25"/>
      <c r="N25"/>
      <c r="O25"/>
      <c r="P25"/>
    </row>
    <row r="26" spans="1:16" x14ac:dyDescent="0.25">
      <c r="A26" s="210">
        <f>'RISK PREMIUM'!A27</f>
        <v>2046</v>
      </c>
      <c r="B26" s="222">
        <v>0</v>
      </c>
      <c r="C26" s="222">
        <v>0</v>
      </c>
      <c r="D26" s="222">
        <v>0</v>
      </c>
      <c r="E26" s="222">
        <v>0</v>
      </c>
      <c r="F26" s="222">
        <v>0</v>
      </c>
      <c r="G26" s="222">
        <v>0</v>
      </c>
      <c r="H26" s="223">
        <v>0</v>
      </c>
    </row>
    <row r="27" spans="1:16" x14ac:dyDescent="0.25">
      <c r="A27" s="210">
        <f>'RISK PREMIUM'!A28</f>
        <v>2047</v>
      </c>
      <c r="B27" s="222">
        <v>0</v>
      </c>
      <c r="C27" s="222">
        <v>0</v>
      </c>
      <c r="D27" s="222">
        <v>0</v>
      </c>
      <c r="E27" s="222">
        <v>0</v>
      </c>
      <c r="F27" s="222">
        <v>0</v>
      </c>
      <c r="G27" s="222">
        <v>0</v>
      </c>
      <c r="H27" s="223">
        <v>0</v>
      </c>
    </row>
    <row r="28" spans="1:16" x14ac:dyDescent="0.25">
      <c r="A28" s="210">
        <f>'RISK PREMIUM'!A29</f>
        <v>2048</v>
      </c>
      <c r="B28" s="222">
        <v>0</v>
      </c>
      <c r="C28" s="222">
        <v>0</v>
      </c>
      <c r="D28" s="222">
        <v>0</v>
      </c>
      <c r="E28" s="222">
        <v>0</v>
      </c>
      <c r="F28" s="222">
        <v>0</v>
      </c>
      <c r="G28" s="222">
        <v>0</v>
      </c>
      <c r="H28" s="223">
        <v>0</v>
      </c>
    </row>
    <row r="29" spans="1:16" x14ac:dyDescent="0.25">
      <c r="A29" s="210">
        <f>'RISK PREMIUM'!A30</f>
        <v>2049</v>
      </c>
      <c r="B29" s="222">
        <v>0</v>
      </c>
      <c r="C29" s="222">
        <v>0</v>
      </c>
      <c r="D29" s="222">
        <v>0</v>
      </c>
      <c r="E29" s="222">
        <v>0</v>
      </c>
      <c r="F29" s="222">
        <v>0</v>
      </c>
      <c r="G29" s="222">
        <v>0</v>
      </c>
      <c r="H29" s="223">
        <v>0</v>
      </c>
    </row>
    <row r="30" spans="1:16" ht="15.75" thickBot="1" x14ac:dyDescent="0.3">
      <c r="A30" s="207">
        <f>'RISK PREMIUM'!A31</f>
        <v>2050</v>
      </c>
      <c r="B30" s="224">
        <v>0</v>
      </c>
      <c r="C30" s="224">
        <v>0</v>
      </c>
      <c r="D30" s="224">
        <v>0</v>
      </c>
      <c r="E30" s="224">
        <v>0</v>
      </c>
      <c r="F30" s="224">
        <v>0</v>
      </c>
      <c r="G30" s="224">
        <v>0</v>
      </c>
      <c r="H30" s="225">
        <v>0</v>
      </c>
    </row>
  </sheetData>
  <mergeCells count="1">
    <mergeCell ref="A1:H3"/>
  </mergeCells>
  <pageMargins left="0.7" right="0.7" top="0.75" bottom="0.75" header="0.3" footer="0.3"/>
  <pageSetup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A3415-32AE-46D4-A5B7-6FF030C70C0B}">
  <sheetPr>
    <tabColor rgb="FF00B0F0"/>
  </sheetPr>
  <dimension ref="A1:L31"/>
  <sheetViews>
    <sheetView view="pageBreakPreview" zoomScale="60" zoomScaleNormal="100" workbookViewId="0">
      <selection sqref="A1:B3"/>
    </sheetView>
  </sheetViews>
  <sheetFormatPr defaultRowHeight="15" x14ac:dyDescent="0.25"/>
  <cols>
    <col min="2" max="2" width="15.5703125" bestFit="1" customWidth="1"/>
  </cols>
  <sheetData>
    <row r="1" spans="1:12" s="36" customFormat="1" ht="15" customHeight="1" x14ac:dyDescent="0.25">
      <c r="A1" s="194" t="s">
        <v>54</v>
      </c>
      <c r="B1" s="196"/>
    </row>
    <row r="2" spans="1:12" s="36" customFormat="1" ht="15" customHeight="1" x14ac:dyDescent="0.25">
      <c r="A2" s="201"/>
      <c r="B2" s="203"/>
    </row>
    <row r="3" spans="1:12" s="36" customFormat="1" ht="15.75" customHeight="1" thickBot="1" x14ac:dyDescent="0.3">
      <c r="A3" s="197"/>
      <c r="B3" s="199"/>
    </row>
    <row r="4" spans="1:12" ht="28.5" customHeight="1" x14ac:dyDescent="0.25">
      <c r="A4" s="208"/>
      <c r="B4" s="209" t="s">
        <v>30</v>
      </c>
    </row>
    <row r="5" spans="1:12" x14ac:dyDescent="0.25">
      <c r="A5" s="210" t="s">
        <v>42</v>
      </c>
      <c r="B5" s="211" t="s">
        <v>54</v>
      </c>
      <c r="C5" s="29"/>
      <c r="D5" s="29"/>
    </row>
    <row r="6" spans="1:12" x14ac:dyDescent="0.25">
      <c r="A6" s="210">
        <f>'CARBON TAX'!A6</f>
        <v>2025</v>
      </c>
      <c r="B6" s="217">
        <v>-2.9341722310103614E-2</v>
      </c>
      <c r="K6" s="29"/>
      <c r="L6" s="29"/>
    </row>
    <row r="7" spans="1:12" x14ac:dyDescent="0.25">
      <c r="A7" s="210">
        <f>A6+1</f>
        <v>2026</v>
      </c>
      <c r="B7" s="217">
        <v>-2.5652789193993809E-2</v>
      </c>
      <c r="K7" s="29"/>
      <c r="L7" s="29"/>
    </row>
    <row r="8" spans="1:12" x14ac:dyDescent="0.25">
      <c r="A8" s="210">
        <f t="shared" ref="A8:A31" si="0">A7+1</f>
        <v>2027</v>
      </c>
      <c r="B8" s="217">
        <v>1.4388907190453094E-2</v>
      </c>
    </row>
    <row r="9" spans="1:12" x14ac:dyDescent="0.25">
      <c r="A9" s="210">
        <f t="shared" si="0"/>
        <v>2028</v>
      </c>
      <c r="B9" s="217">
        <v>1.2476626909160604E-2</v>
      </c>
    </row>
    <row r="10" spans="1:12" x14ac:dyDescent="0.25">
      <c r="A10" s="210">
        <f t="shared" si="0"/>
        <v>2029</v>
      </c>
      <c r="B10" s="217">
        <v>1.1886618211683863E-2</v>
      </c>
    </row>
    <row r="11" spans="1:12" x14ac:dyDescent="0.25">
      <c r="A11" s="210">
        <f t="shared" si="0"/>
        <v>2030</v>
      </c>
      <c r="B11" s="217">
        <v>1.2421977737145129E-2</v>
      </c>
    </row>
    <row r="12" spans="1:12" x14ac:dyDescent="0.25">
      <c r="A12" s="210">
        <f t="shared" si="0"/>
        <v>2031</v>
      </c>
      <c r="B12" s="217">
        <v>-1.1092480391119519E-2</v>
      </c>
    </row>
    <row r="13" spans="1:12" x14ac:dyDescent="0.25">
      <c r="A13" s="210">
        <f t="shared" si="0"/>
        <v>2032</v>
      </c>
      <c r="B13" s="217">
        <v>-1.0756051260916699E-2</v>
      </c>
    </row>
    <row r="14" spans="1:12" x14ac:dyDescent="0.25">
      <c r="A14" s="210">
        <f t="shared" si="0"/>
        <v>2033</v>
      </c>
      <c r="B14" s="217">
        <v>-1.4448532695559369E-2</v>
      </c>
    </row>
    <row r="15" spans="1:12" x14ac:dyDescent="0.25">
      <c r="A15" s="210">
        <f t="shared" si="0"/>
        <v>2034</v>
      </c>
      <c r="B15" s="217">
        <v>-4.3470952421864426E-2</v>
      </c>
    </row>
    <row r="16" spans="1:12" x14ac:dyDescent="0.25">
      <c r="A16" s="210">
        <f t="shared" si="0"/>
        <v>2035</v>
      </c>
      <c r="B16" s="217">
        <v>-5.2403689270138012E-2</v>
      </c>
    </row>
    <row r="17" spans="1:2" x14ac:dyDescent="0.25">
      <c r="A17" s="210">
        <f t="shared" si="0"/>
        <v>2036</v>
      </c>
      <c r="B17" s="217">
        <v>-5.2896475012743013E-2</v>
      </c>
    </row>
    <row r="18" spans="1:2" x14ac:dyDescent="0.25">
      <c r="A18" s="210">
        <f t="shared" si="0"/>
        <v>2037</v>
      </c>
      <c r="B18" s="217">
        <v>2.9504742642639359E-2</v>
      </c>
    </row>
    <row r="19" spans="1:2" x14ac:dyDescent="0.25">
      <c r="A19" s="210">
        <f t="shared" si="0"/>
        <v>2038</v>
      </c>
      <c r="B19" s="217">
        <v>3.5963716733349214E-2</v>
      </c>
    </row>
    <row r="20" spans="1:2" x14ac:dyDescent="0.25">
      <c r="A20" s="210">
        <f t="shared" si="0"/>
        <v>2039</v>
      </c>
      <c r="B20" s="217">
        <v>0.10687559520318635</v>
      </c>
    </row>
    <row r="21" spans="1:2" x14ac:dyDescent="0.25">
      <c r="A21" s="210">
        <f t="shared" si="0"/>
        <v>2040</v>
      </c>
      <c r="B21" s="217">
        <v>0.14249740239835357</v>
      </c>
    </row>
    <row r="22" spans="1:2" x14ac:dyDescent="0.25">
      <c r="A22" s="210">
        <f t="shared" si="0"/>
        <v>2041</v>
      </c>
      <c r="B22" s="217">
        <v>0.20838773062036661</v>
      </c>
    </row>
    <row r="23" spans="1:2" x14ac:dyDescent="0.25">
      <c r="A23" s="210">
        <f t="shared" si="0"/>
        <v>2042</v>
      </c>
      <c r="B23" s="217">
        <v>0.17287909554071179</v>
      </c>
    </row>
    <row r="24" spans="1:2" x14ac:dyDescent="0.25">
      <c r="A24" s="210">
        <f t="shared" si="0"/>
        <v>2043</v>
      </c>
      <c r="B24" s="217">
        <v>0.2054758687601434</v>
      </c>
    </row>
    <row r="25" spans="1:2" x14ac:dyDescent="0.25">
      <c r="A25" s="210">
        <f t="shared" si="0"/>
        <v>2044</v>
      </c>
      <c r="B25" s="217">
        <v>0.29735767331622343</v>
      </c>
    </row>
    <row r="26" spans="1:2" x14ac:dyDescent="0.25">
      <c r="A26" s="210">
        <f t="shared" si="0"/>
        <v>2045</v>
      </c>
      <c r="B26" s="217">
        <v>0.33150041387134416</v>
      </c>
    </row>
    <row r="27" spans="1:2" x14ac:dyDescent="0.25">
      <c r="A27" s="210">
        <f t="shared" si="0"/>
        <v>2046</v>
      </c>
      <c r="B27" s="217">
        <v>0.39727647489180706</v>
      </c>
    </row>
    <row r="28" spans="1:2" x14ac:dyDescent="0.25">
      <c r="A28" s="210">
        <f t="shared" si="0"/>
        <v>2047</v>
      </c>
      <c r="B28" s="217">
        <v>0.2198384506011844</v>
      </c>
    </row>
    <row r="29" spans="1:2" x14ac:dyDescent="0.25">
      <c r="A29" s="210">
        <f t="shared" si="0"/>
        <v>2048</v>
      </c>
      <c r="B29" s="217">
        <v>0.15251905839218249</v>
      </c>
    </row>
    <row r="30" spans="1:2" x14ac:dyDescent="0.25">
      <c r="A30" s="210">
        <f t="shared" si="0"/>
        <v>2049</v>
      </c>
      <c r="B30" s="217">
        <v>9.2258004596219217E-2</v>
      </c>
    </row>
    <row r="31" spans="1:2" ht="15.75" thickBot="1" x14ac:dyDescent="0.3">
      <c r="A31" s="207">
        <f t="shared" si="0"/>
        <v>2050</v>
      </c>
      <c r="B31" s="212">
        <v>3.3367183304697165E-2</v>
      </c>
    </row>
  </sheetData>
  <mergeCells count="1">
    <mergeCell ref="A1:B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D92A2-F2C9-43D0-AE51-C23C4EA4A693}">
  <sheetPr>
    <tabColor rgb="FF0070C0"/>
  </sheetPr>
  <dimension ref="A1:B51"/>
  <sheetViews>
    <sheetView view="pageBreakPreview" zoomScale="60" zoomScaleNormal="100" workbookViewId="0">
      <selection sqref="A1:B3"/>
    </sheetView>
  </sheetViews>
  <sheetFormatPr defaultRowHeight="15" x14ac:dyDescent="0.25"/>
  <cols>
    <col min="2" max="2" width="16.85546875" bestFit="1" customWidth="1"/>
  </cols>
  <sheetData>
    <row r="1" spans="1:2" s="36" customFormat="1" x14ac:dyDescent="0.25">
      <c r="A1" s="184" t="s">
        <v>123</v>
      </c>
      <c r="B1" s="184"/>
    </row>
    <row r="2" spans="1:2" s="36" customFormat="1" x14ac:dyDescent="0.25">
      <c r="A2" s="184"/>
      <c r="B2" s="184"/>
    </row>
    <row r="3" spans="1:2" s="36" customFormat="1" ht="15.75" thickBot="1" x14ac:dyDescent="0.3">
      <c r="A3" s="184"/>
      <c r="B3" s="184"/>
    </row>
    <row r="4" spans="1:2" x14ac:dyDescent="0.25">
      <c r="A4" s="208"/>
      <c r="B4" s="209" t="s">
        <v>30</v>
      </c>
    </row>
    <row r="5" spans="1:2" x14ac:dyDescent="0.25">
      <c r="A5" s="210" t="s">
        <v>42</v>
      </c>
      <c r="B5" s="211" t="s">
        <v>60</v>
      </c>
    </row>
    <row r="6" spans="1:2" x14ac:dyDescent="0.25">
      <c r="A6" s="210">
        <f>'CARBON TAX'!A6</f>
        <v>2025</v>
      </c>
      <c r="B6" s="226">
        <v>3.0010888304146582E-2</v>
      </c>
    </row>
    <row r="7" spans="1:2" x14ac:dyDescent="0.25">
      <c r="A7" s="210">
        <f>A6+1</f>
        <v>2026</v>
      </c>
      <c r="B7" s="226">
        <v>2.9929306054132607E-2</v>
      </c>
    </row>
    <row r="8" spans="1:2" x14ac:dyDescent="0.25">
      <c r="A8" s="210">
        <f t="shared" ref="A8:A51" si="0">A7+1</f>
        <v>2027</v>
      </c>
      <c r="B8" s="226">
        <v>3.016436442429685E-2</v>
      </c>
    </row>
    <row r="9" spans="1:2" x14ac:dyDescent="0.25">
      <c r="A9" s="210">
        <f t="shared" si="0"/>
        <v>2028</v>
      </c>
      <c r="B9" s="226">
        <v>3.06579948799558E-2</v>
      </c>
    </row>
    <row r="10" spans="1:2" x14ac:dyDescent="0.25">
      <c r="A10" s="210">
        <f t="shared" si="0"/>
        <v>2029</v>
      </c>
      <c r="B10" s="226">
        <v>3.1149092715542899E-2</v>
      </c>
    </row>
    <row r="11" spans="1:2" x14ac:dyDescent="0.25">
      <c r="A11" s="210">
        <f t="shared" si="0"/>
        <v>2030</v>
      </c>
      <c r="B11" s="226">
        <v>3.1523232270623321E-2</v>
      </c>
    </row>
    <row r="12" spans="1:2" x14ac:dyDescent="0.25">
      <c r="A12" s="210">
        <f t="shared" si="0"/>
        <v>2031</v>
      </c>
      <c r="B12" s="226">
        <v>3.1765366724942005E-2</v>
      </c>
    </row>
    <row r="13" spans="1:2" x14ac:dyDescent="0.25">
      <c r="A13" s="210">
        <f t="shared" si="0"/>
        <v>2032</v>
      </c>
      <c r="B13" s="226">
        <v>3.1900707137439158E-2</v>
      </c>
    </row>
    <row r="14" spans="1:2" x14ac:dyDescent="0.25">
      <c r="A14" s="210">
        <f t="shared" si="0"/>
        <v>2033</v>
      </c>
      <c r="B14" s="226">
        <v>3.1993408065634749E-2</v>
      </c>
    </row>
    <row r="15" spans="1:2" x14ac:dyDescent="0.25">
      <c r="A15" s="210">
        <f t="shared" si="0"/>
        <v>2034</v>
      </c>
      <c r="B15" s="226">
        <v>3.2069987592481954E-2</v>
      </c>
    </row>
    <row r="16" spans="1:2" x14ac:dyDescent="0.25">
      <c r="A16" s="210">
        <f t="shared" si="0"/>
        <v>2035</v>
      </c>
      <c r="B16" s="226">
        <v>3.2136516187921266E-2</v>
      </c>
    </row>
    <row r="17" spans="1:2" x14ac:dyDescent="0.25">
      <c r="A17" s="210">
        <f t="shared" si="0"/>
        <v>2036</v>
      </c>
      <c r="B17" s="226">
        <v>3.2203618323492188E-2</v>
      </c>
    </row>
    <row r="18" spans="1:2" x14ac:dyDescent="0.25">
      <c r="A18" s="210">
        <f t="shared" si="0"/>
        <v>2037</v>
      </c>
      <c r="B18" s="226">
        <v>3.2248964303066091E-2</v>
      </c>
    </row>
    <row r="19" spans="1:2" x14ac:dyDescent="0.25">
      <c r="A19" s="210">
        <f t="shared" si="0"/>
        <v>2038</v>
      </c>
      <c r="B19" s="226">
        <v>3.2289083455640445E-2</v>
      </c>
    </row>
    <row r="20" spans="1:2" x14ac:dyDescent="0.25">
      <c r="A20" s="210">
        <f t="shared" si="0"/>
        <v>2039</v>
      </c>
      <c r="B20" s="226">
        <v>3.2318478207579611E-2</v>
      </c>
    </row>
    <row r="21" spans="1:2" x14ac:dyDescent="0.25">
      <c r="A21" s="210">
        <f t="shared" si="0"/>
        <v>2040</v>
      </c>
      <c r="B21" s="226">
        <v>3.2342018027944272E-2</v>
      </c>
    </row>
    <row r="22" spans="1:2" x14ac:dyDescent="0.25">
      <c r="A22" s="210">
        <f t="shared" si="0"/>
        <v>2041</v>
      </c>
      <c r="B22" s="226">
        <v>3.235007268645447E-2</v>
      </c>
    </row>
    <row r="23" spans="1:2" x14ac:dyDescent="0.25">
      <c r="A23" s="210">
        <f t="shared" si="0"/>
        <v>2042</v>
      </c>
      <c r="B23" s="226">
        <v>3.236127698258498E-2</v>
      </c>
    </row>
    <row r="24" spans="1:2" x14ac:dyDescent="0.25">
      <c r="A24" s="210">
        <f t="shared" si="0"/>
        <v>2043</v>
      </c>
      <c r="B24" s="226">
        <v>3.2369877323387961E-2</v>
      </c>
    </row>
    <row r="25" spans="1:2" x14ac:dyDescent="0.25">
      <c r="A25" s="210">
        <f t="shared" si="0"/>
        <v>2044</v>
      </c>
      <c r="B25" s="226">
        <v>3.2379319716513706E-2</v>
      </c>
    </row>
    <row r="26" spans="1:2" x14ac:dyDescent="0.25">
      <c r="A26" s="210">
        <f t="shared" si="0"/>
        <v>2045</v>
      </c>
      <c r="B26" s="226">
        <v>3.2388450805762505E-2</v>
      </c>
    </row>
    <row r="27" spans="1:2" x14ac:dyDescent="0.25">
      <c r="A27" s="210">
        <f t="shared" si="0"/>
        <v>2046</v>
      </c>
      <c r="B27" s="226">
        <v>3.2400178889473039E-2</v>
      </c>
    </row>
    <row r="28" spans="1:2" x14ac:dyDescent="0.25">
      <c r="A28" s="210">
        <f t="shared" si="0"/>
        <v>2047</v>
      </c>
      <c r="B28" s="226">
        <v>3.2409324948226383E-2</v>
      </c>
    </row>
    <row r="29" spans="1:2" x14ac:dyDescent="0.25">
      <c r="A29" s="210">
        <f t="shared" si="0"/>
        <v>2048</v>
      </c>
      <c r="B29" s="226">
        <v>3.2422504729585376E-2</v>
      </c>
    </row>
    <row r="30" spans="1:2" x14ac:dyDescent="0.25">
      <c r="A30" s="210">
        <f t="shared" si="0"/>
        <v>2049</v>
      </c>
      <c r="B30" s="226">
        <v>3.2427460668869867E-2</v>
      </c>
    </row>
    <row r="31" spans="1:2" x14ac:dyDescent="0.25">
      <c r="A31" s="210">
        <f t="shared" si="0"/>
        <v>2050</v>
      </c>
      <c r="B31" s="226">
        <v>3.2441410363986199E-2</v>
      </c>
    </row>
    <row r="32" spans="1:2" x14ac:dyDescent="0.25">
      <c r="A32" s="210">
        <f t="shared" si="0"/>
        <v>2051</v>
      </c>
      <c r="B32" s="226">
        <v>3.2441410363986199E-2</v>
      </c>
    </row>
    <row r="33" spans="1:2" x14ac:dyDescent="0.25">
      <c r="A33" s="210">
        <f t="shared" si="0"/>
        <v>2052</v>
      </c>
      <c r="B33" s="226">
        <v>3.2441410363986199E-2</v>
      </c>
    </row>
    <row r="34" spans="1:2" x14ac:dyDescent="0.25">
      <c r="A34" s="210">
        <f t="shared" si="0"/>
        <v>2053</v>
      </c>
      <c r="B34" s="226">
        <v>3.2441410363986199E-2</v>
      </c>
    </row>
    <row r="35" spans="1:2" x14ac:dyDescent="0.25">
      <c r="A35" s="210">
        <f t="shared" si="0"/>
        <v>2054</v>
      </c>
      <c r="B35" s="226">
        <v>3.2441410363986199E-2</v>
      </c>
    </row>
    <row r="36" spans="1:2" x14ac:dyDescent="0.25">
      <c r="A36" s="210">
        <f t="shared" si="0"/>
        <v>2055</v>
      </c>
      <c r="B36" s="226">
        <v>3.2441410363986199E-2</v>
      </c>
    </row>
    <row r="37" spans="1:2" x14ac:dyDescent="0.25">
      <c r="A37" s="210">
        <f t="shared" si="0"/>
        <v>2056</v>
      </c>
      <c r="B37" s="226">
        <v>3.2441410363986199E-2</v>
      </c>
    </row>
    <row r="38" spans="1:2" x14ac:dyDescent="0.25">
      <c r="A38" s="210">
        <f t="shared" si="0"/>
        <v>2057</v>
      </c>
      <c r="B38" s="226">
        <v>3.2441410363986199E-2</v>
      </c>
    </row>
    <row r="39" spans="1:2" x14ac:dyDescent="0.25">
      <c r="A39" s="210">
        <f t="shared" si="0"/>
        <v>2058</v>
      </c>
      <c r="B39" s="226">
        <v>3.2441410363986199E-2</v>
      </c>
    </row>
    <row r="40" spans="1:2" x14ac:dyDescent="0.25">
      <c r="A40" s="210">
        <f t="shared" si="0"/>
        <v>2059</v>
      </c>
      <c r="B40" s="226">
        <v>3.2441410363986199E-2</v>
      </c>
    </row>
    <row r="41" spans="1:2" x14ac:dyDescent="0.25">
      <c r="A41" s="210">
        <f t="shared" si="0"/>
        <v>2060</v>
      </c>
      <c r="B41" s="226">
        <v>3.2441410363986199E-2</v>
      </c>
    </row>
    <row r="42" spans="1:2" x14ac:dyDescent="0.25">
      <c r="A42" s="210">
        <f t="shared" si="0"/>
        <v>2061</v>
      </c>
      <c r="B42" s="226">
        <v>3.2441410363986199E-2</v>
      </c>
    </row>
    <row r="43" spans="1:2" x14ac:dyDescent="0.25">
      <c r="A43" s="210">
        <f t="shared" si="0"/>
        <v>2062</v>
      </c>
      <c r="B43" s="226">
        <v>3.2441410363986199E-2</v>
      </c>
    </row>
    <row r="44" spans="1:2" x14ac:dyDescent="0.25">
      <c r="A44" s="210">
        <f t="shared" si="0"/>
        <v>2063</v>
      </c>
      <c r="B44" s="226">
        <v>3.2441410363986199E-2</v>
      </c>
    </row>
    <row r="45" spans="1:2" x14ac:dyDescent="0.25">
      <c r="A45" s="210">
        <f t="shared" si="0"/>
        <v>2064</v>
      </c>
      <c r="B45" s="226">
        <v>3.2441410363986199E-2</v>
      </c>
    </row>
    <row r="46" spans="1:2" x14ac:dyDescent="0.25">
      <c r="A46" s="210">
        <f t="shared" si="0"/>
        <v>2065</v>
      </c>
      <c r="B46" s="226">
        <v>3.2441410363986199E-2</v>
      </c>
    </row>
    <row r="47" spans="1:2" x14ac:dyDescent="0.25">
      <c r="A47" s="210">
        <f t="shared" si="0"/>
        <v>2066</v>
      </c>
      <c r="B47" s="226">
        <v>3.2441410363986199E-2</v>
      </c>
    </row>
    <row r="48" spans="1:2" x14ac:dyDescent="0.25">
      <c r="A48" s="210">
        <f t="shared" si="0"/>
        <v>2067</v>
      </c>
      <c r="B48" s="226">
        <v>3.2441410363986199E-2</v>
      </c>
    </row>
    <row r="49" spans="1:2" x14ac:dyDescent="0.25">
      <c r="A49" s="210">
        <f t="shared" si="0"/>
        <v>2068</v>
      </c>
      <c r="B49" s="226">
        <v>3.2441410363986199E-2</v>
      </c>
    </row>
    <row r="50" spans="1:2" x14ac:dyDescent="0.25">
      <c r="A50" s="210">
        <f t="shared" si="0"/>
        <v>2069</v>
      </c>
      <c r="B50" s="226">
        <v>3.2441410363986199E-2</v>
      </c>
    </row>
    <row r="51" spans="1:2" ht="15.75" thickBot="1" x14ac:dyDescent="0.3">
      <c r="A51" s="207">
        <f t="shared" si="0"/>
        <v>2070</v>
      </c>
      <c r="B51" s="226">
        <v>3.2441410363986199E-2</v>
      </c>
    </row>
  </sheetData>
  <mergeCells count="1">
    <mergeCell ref="A1:B3"/>
  </mergeCells>
  <pageMargins left="0.7" right="0.7" top="0.75" bottom="0.75" header="0.3" footer="0.3"/>
  <pageSetup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C791D-2E8D-4B16-B768-63522E24FF7C}">
  <sheetPr>
    <tabColor rgb="FF00B050"/>
  </sheetPr>
  <dimension ref="A1:W48"/>
  <sheetViews>
    <sheetView view="pageBreakPreview" zoomScale="78" zoomScaleNormal="100" zoomScaleSheetLayoutView="100" workbookViewId="0">
      <selection activeCell="C3" sqref="C3"/>
    </sheetView>
  </sheetViews>
  <sheetFormatPr defaultColWidth="9.140625" defaultRowHeight="15" x14ac:dyDescent="0.25"/>
  <cols>
    <col min="1" max="1" width="9.140625" style="36"/>
    <col min="2" max="2" width="5.5703125" style="36" bestFit="1" customWidth="1"/>
    <col min="3" max="7" width="8" style="36" bestFit="1" customWidth="1"/>
    <col min="8" max="8" width="11.5703125" style="36" bestFit="1" customWidth="1"/>
    <col min="9" max="9" width="8" style="36" bestFit="1" customWidth="1"/>
    <col min="10" max="10" width="9.140625" style="36"/>
    <col min="11" max="11" width="5.5703125" style="36" bestFit="1" customWidth="1"/>
    <col min="12" max="16" width="8" style="36" bestFit="1" customWidth="1"/>
    <col min="17" max="17" width="11.5703125" style="36" bestFit="1" customWidth="1"/>
    <col min="18" max="18" width="8" style="36" bestFit="1" customWidth="1"/>
    <col min="19" max="19" width="9.140625" style="36"/>
    <col min="20" max="20" width="11.5703125" style="36" customWidth="1"/>
    <col min="21" max="16384" width="9.140625" style="36"/>
  </cols>
  <sheetData>
    <row r="1" spans="1:23" x14ac:dyDescent="0.25">
      <c r="A1" s="36" t="s">
        <v>128</v>
      </c>
      <c r="B1" s="164" t="s">
        <v>106</v>
      </c>
      <c r="C1" s="165"/>
      <c r="D1" s="165"/>
      <c r="E1" s="165"/>
      <c r="F1" s="165"/>
      <c r="G1" s="165"/>
      <c r="H1" s="165"/>
      <c r="I1" s="166"/>
      <c r="K1" s="164" t="s">
        <v>127</v>
      </c>
      <c r="L1" s="165"/>
      <c r="M1" s="165"/>
      <c r="N1" s="165"/>
      <c r="O1" s="165"/>
      <c r="P1" s="165"/>
      <c r="Q1" s="165"/>
      <c r="R1" s="166"/>
    </row>
    <row r="2" spans="1:23" x14ac:dyDescent="0.25">
      <c r="A2" s="36">
        <v>2025</v>
      </c>
      <c r="B2" s="90"/>
      <c r="C2" s="90" t="s">
        <v>24</v>
      </c>
      <c r="D2" s="90" t="s">
        <v>25</v>
      </c>
      <c r="E2" s="90" t="s">
        <v>26</v>
      </c>
      <c r="F2" s="90" t="s">
        <v>27</v>
      </c>
      <c r="G2" s="90" t="s">
        <v>28</v>
      </c>
      <c r="H2" s="90" t="s">
        <v>29</v>
      </c>
      <c r="I2" s="90" t="s">
        <v>30</v>
      </c>
      <c r="K2" s="90"/>
      <c r="L2" s="90" t="s">
        <v>24</v>
      </c>
      <c r="M2" s="90" t="s">
        <v>25</v>
      </c>
      <c r="N2" s="90" t="s">
        <v>26</v>
      </c>
      <c r="O2" s="90" t="s">
        <v>27</v>
      </c>
      <c r="P2" s="90" t="s">
        <v>28</v>
      </c>
      <c r="Q2" s="90" t="s">
        <v>29</v>
      </c>
      <c r="R2" s="90" t="s">
        <v>30</v>
      </c>
    </row>
    <row r="3" spans="1:23" ht="15.75" thickBot="1" x14ac:dyDescent="0.3">
      <c r="B3" s="90">
        <f>A2</f>
        <v>2025</v>
      </c>
      <c r="C3" s="91">
        <f>(('INCRM FIXED TRANSPORT'!$B5+'VARIABLE TRANSPORT'!$B5+'FIXED STORAGE'!$B5+'VARIABLE STORAGE'!$B5+'COMMODITY COST'!B4+'CARBON TAX'!$B6+('DISTRIBUTION SYSTEM'!B5*((1+$S$6)^($B3-$A$2)))+'RISK PREMIUM'!$B6)*'ENVIRONMENTAL ADDER'!$B5)/10</f>
        <v>1.3792321100976623</v>
      </c>
      <c r="D3" s="91">
        <f>(('INCRM FIXED TRANSPORT'!$B5+'VARIABLE TRANSPORT'!$B5+'FIXED STORAGE'!$B5+'VARIABLE STORAGE'!$B5+'COMMODITY COST'!C4+'CARBON TAX'!$B6+('DISTRIBUTION SYSTEM'!C5*((1+$S$6)^($B3-$A$2)))+'RISK PREMIUM'!$B6)*'ENVIRONMENTAL ADDER'!$B5)/10</f>
        <v>1.3792321100976623</v>
      </c>
      <c r="E3" s="91">
        <f>(('INCRM FIXED TRANSPORT'!$B5+'VARIABLE TRANSPORT'!$B5+'FIXED STORAGE'!$B5+'VARIABLE STORAGE'!$B5+'COMMODITY COST'!D4+'CARBON TAX'!$B6+('DISTRIBUTION SYSTEM'!D5*((1+$S$6)^($B3-$A$2)))+'RISK PREMIUM'!$B6)*'ENVIRONMENTAL ADDER'!$B5)/10</f>
        <v>1.3792321100976623</v>
      </c>
      <c r="F3" s="91">
        <f>(('INCRM FIXED TRANSPORT'!$B5+'VARIABLE TRANSPORT'!$B5+'FIXED STORAGE'!$B5+'VARIABLE STORAGE'!$B5+'COMMODITY COST'!E4+'CARBON TAX'!$B6+('DISTRIBUTION SYSTEM'!E5*((1+$S$6)^($B3-$A$2)))+'RISK PREMIUM'!$B6)*'ENVIRONMENTAL ADDER'!$B5)/10</f>
        <v>1.3792321100976623</v>
      </c>
      <c r="G3" s="91">
        <f>(('INCRM FIXED TRANSPORT'!$B5+'VARIABLE TRANSPORT'!$B5+'FIXED STORAGE'!$B5+'VARIABLE STORAGE'!$B5+'COMMODITY COST'!F4+'CARBON TAX'!$B6+('DISTRIBUTION SYSTEM'!F5*((1+$S$6)^($B3-$A$2)))+'RISK PREMIUM'!$B6)*'ENVIRONMENTAL ADDER'!$B5)/10</f>
        <v>1.3792321100976623</v>
      </c>
      <c r="H3" s="91">
        <f>(('INCRM FIXED TRANSPORT'!$B5+'VARIABLE TRANSPORT'!$B5+'FIXED STORAGE'!$B5+'VARIABLE STORAGE'!$B5+'COMMODITY COST'!G4+'CARBON TAX'!$B6+('DISTRIBUTION SYSTEM'!G5*((1+$S$6)^($B3-$A$2)))+'RISK PREMIUM'!$B6)*'ENVIRONMENTAL ADDER'!$B5)/10</f>
        <v>1.3792321100976623</v>
      </c>
      <c r="I3" s="91">
        <f>(('INCRM FIXED TRANSPORT'!$B5+'VARIABLE TRANSPORT'!$B5+'FIXED STORAGE'!$B5+'VARIABLE STORAGE'!$B5+'COMMODITY COST'!H4+'CARBON TAX'!$B6+('DISTRIBUTION SYSTEM'!H5*((1+$S$6)^($B3-$A$2)))+'RISK PREMIUM'!$B6)*'ENVIRONMENTAL ADDER'!$B5)/10</f>
        <v>1.3792321100976623</v>
      </c>
      <c r="K3" s="90">
        <f>B3</f>
        <v>2025</v>
      </c>
      <c r="L3" s="91">
        <f t="shared" ref="L3:L48" si="0">C3/POWER((1+$S$6),$B3-$B$3)</f>
        <v>1.3792321100976623</v>
      </c>
      <c r="M3" s="91">
        <f t="shared" ref="M3:M48" si="1">D3/POWER((1+$S$6),$B3-$B$3)</f>
        <v>1.3792321100976623</v>
      </c>
      <c r="N3" s="91">
        <f t="shared" ref="N3:N48" si="2">E3/POWER((1+$S$6),$B3-$B$3)</f>
        <v>1.3792321100976623</v>
      </c>
      <c r="O3" s="91">
        <f t="shared" ref="O3:O48" si="3">F3/POWER((1+$S$6),$B3-$B$3)</f>
        <v>1.3792321100976623</v>
      </c>
      <c r="P3" s="91">
        <f t="shared" ref="P3:P48" si="4">G3/POWER((1+$S$6),$B3-$B$3)</f>
        <v>1.3792321100976623</v>
      </c>
      <c r="Q3" s="91">
        <f t="shared" ref="Q3:Q48" si="5">H3/POWER((1+$S$6),$B3-$B$3)</f>
        <v>1.3792321100976623</v>
      </c>
      <c r="R3" s="91">
        <f t="shared" ref="R3:R48" si="6">I3/POWER((1+$S$6),$B3-$B$3)</f>
        <v>1.3792321100976623</v>
      </c>
    </row>
    <row r="4" spans="1:23" ht="15" customHeight="1" x14ac:dyDescent="0.25">
      <c r="B4" s="90">
        <f>B3+1</f>
        <v>2026</v>
      </c>
      <c r="C4" s="91">
        <f>(('INCRM FIXED TRANSPORT'!$B6+'VARIABLE TRANSPORT'!$B6+'FIXED STORAGE'!$B6+'VARIABLE STORAGE'!$B6+'COMMODITY COST'!B5+'CARBON TAX'!$B7+('DISTRIBUTION SYSTEM'!B6*((1+$S$6)^($B4-$A$2)))+'RISK PREMIUM'!$B7)*'ENVIRONMENTAL ADDER'!$B6)/10</f>
        <v>1.4683726348100836</v>
      </c>
      <c r="D4" s="91">
        <f>(('INCRM FIXED TRANSPORT'!$B6+'VARIABLE TRANSPORT'!$B6+'FIXED STORAGE'!$B6+'VARIABLE STORAGE'!$B6+'COMMODITY COST'!C5+'CARBON TAX'!$B7+('DISTRIBUTION SYSTEM'!C6*((1+$S$6)^($B4-$A$2)))+'RISK PREMIUM'!$B7)*'ENVIRONMENTAL ADDER'!$B6)/10</f>
        <v>1.4683726348100836</v>
      </c>
      <c r="E4" s="91">
        <f>(('INCRM FIXED TRANSPORT'!$B6+'VARIABLE TRANSPORT'!$B6+'FIXED STORAGE'!$B6+'VARIABLE STORAGE'!$B6+'COMMODITY COST'!D5+'CARBON TAX'!$B7+('DISTRIBUTION SYSTEM'!D6*((1+$S$6)^($B4-$A$2)))+'RISK PREMIUM'!$B7)*'ENVIRONMENTAL ADDER'!$B6)/10</f>
        <v>1.4683726348100836</v>
      </c>
      <c r="F4" s="91">
        <f>(('INCRM FIXED TRANSPORT'!$B6+'VARIABLE TRANSPORT'!$B6+'FIXED STORAGE'!$B6+'VARIABLE STORAGE'!$B6+'COMMODITY COST'!E5+'CARBON TAX'!$B7+('DISTRIBUTION SYSTEM'!E6*((1+$S$6)^($B4-$A$2)))+'RISK PREMIUM'!$B7)*'ENVIRONMENTAL ADDER'!$B6)/10</f>
        <v>1.4683726348100836</v>
      </c>
      <c r="G4" s="91">
        <f>(('INCRM FIXED TRANSPORT'!$B6+'VARIABLE TRANSPORT'!$B6+'FIXED STORAGE'!$B6+'VARIABLE STORAGE'!$B6+'COMMODITY COST'!F5+'CARBON TAX'!$B7+('DISTRIBUTION SYSTEM'!F6*((1+$S$6)^($B4-$A$2)))+'RISK PREMIUM'!$B7)*'ENVIRONMENTAL ADDER'!$B6)/10</f>
        <v>1.4683726348100836</v>
      </c>
      <c r="H4" s="91">
        <f>(('INCRM FIXED TRANSPORT'!$B6+'VARIABLE TRANSPORT'!$B6+'FIXED STORAGE'!$B6+'VARIABLE STORAGE'!$B6+'COMMODITY COST'!G5+'CARBON TAX'!$B7+('DISTRIBUTION SYSTEM'!G6*((1+$S$6)^($B4-$A$2)))+'RISK PREMIUM'!$B7)*'ENVIRONMENTAL ADDER'!$B6)/10</f>
        <v>1.4683726348100836</v>
      </c>
      <c r="I4" s="91">
        <f>(('INCRM FIXED TRANSPORT'!$B6+'VARIABLE TRANSPORT'!$B6+'FIXED STORAGE'!$B6+'VARIABLE STORAGE'!$B6+'COMMODITY COST'!H5+'CARBON TAX'!$B7+('DISTRIBUTION SYSTEM'!H6*((1+$S$6)^($B4-$A$2)))+'RISK PREMIUM'!$B7)*'ENVIRONMENTAL ADDER'!$B6)/10</f>
        <v>1.4683726348100836</v>
      </c>
      <c r="K4" s="90">
        <f t="shared" ref="K4:K48" si="7">B4</f>
        <v>2026</v>
      </c>
      <c r="L4" s="91">
        <f t="shared" si="0"/>
        <v>1.3840820386559372</v>
      </c>
      <c r="M4" s="91">
        <f t="shared" si="1"/>
        <v>1.3840820386559372</v>
      </c>
      <c r="N4" s="91">
        <f t="shared" si="2"/>
        <v>1.3840820386559372</v>
      </c>
      <c r="O4" s="91">
        <f t="shared" si="3"/>
        <v>1.3840820386559372</v>
      </c>
      <c r="P4" s="91">
        <f t="shared" si="4"/>
        <v>1.3840820386559372</v>
      </c>
      <c r="Q4" s="91">
        <f t="shared" si="5"/>
        <v>1.3840820386559372</v>
      </c>
      <c r="R4" s="91">
        <f t="shared" si="6"/>
        <v>1.3840820386559372</v>
      </c>
      <c r="S4" s="154" t="s">
        <v>63</v>
      </c>
      <c r="T4" s="154"/>
      <c r="U4" s="154"/>
      <c r="V4" s="154"/>
      <c r="W4" s="155"/>
    </row>
    <row r="5" spans="1:23" ht="15" customHeight="1" x14ac:dyDescent="0.25">
      <c r="B5" s="90">
        <f t="shared" ref="B5:B48" si="8">B4+1</f>
        <v>2027</v>
      </c>
      <c r="C5" s="91">
        <f>(('INCRM FIXED TRANSPORT'!$B7+'VARIABLE TRANSPORT'!$B7+'FIXED STORAGE'!$B7+'VARIABLE STORAGE'!$B7+'COMMODITY COST'!B6+'CARBON TAX'!$B8+('DISTRIBUTION SYSTEM'!B7*((1+$S$6)^($B5-$A$2)))+'RISK PREMIUM'!$B8)*'ENVIRONMENTAL ADDER'!$B7)/10</f>
        <v>1.5868040817649436</v>
      </c>
      <c r="D5" s="91">
        <f>(('INCRM FIXED TRANSPORT'!$B7+'VARIABLE TRANSPORT'!$B7+'FIXED STORAGE'!$B7+'VARIABLE STORAGE'!$B7+'COMMODITY COST'!C6+'CARBON TAX'!$B8+('DISTRIBUTION SYSTEM'!C7*((1+$S$6)^($B5-$A$2)))+'RISK PREMIUM'!$B8)*'ENVIRONMENTAL ADDER'!$B7)/10</f>
        <v>1.5868040817649436</v>
      </c>
      <c r="E5" s="91">
        <f>(('INCRM FIXED TRANSPORT'!$B7+'VARIABLE TRANSPORT'!$B7+'FIXED STORAGE'!$B7+'VARIABLE STORAGE'!$B7+'COMMODITY COST'!D6+'CARBON TAX'!$B8+('DISTRIBUTION SYSTEM'!D7*((1+$S$6)^($B5-$A$2)))+'RISK PREMIUM'!$B8)*'ENVIRONMENTAL ADDER'!$B7)/10</f>
        <v>1.5868040817649436</v>
      </c>
      <c r="F5" s="91">
        <f>(('INCRM FIXED TRANSPORT'!$B7+'VARIABLE TRANSPORT'!$B7+'FIXED STORAGE'!$B7+'VARIABLE STORAGE'!$B7+'COMMODITY COST'!E6+'CARBON TAX'!$B8+('DISTRIBUTION SYSTEM'!E7*((1+$S$6)^($B5-$A$2)))+'RISK PREMIUM'!$B8)*'ENVIRONMENTAL ADDER'!$B7)/10</f>
        <v>1.5868040817649436</v>
      </c>
      <c r="G5" s="91">
        <f>(('INCRM FIXED TRANSPORT'!$B7+'VARIABLE TRANSPORT'!$B7+'FIXED STORAGE'!$B7+'VARIABLE STORAGE'!$B7+'COMMODITY COST'!F6+'CARBON TAX'!$B8+('DISTRIBUTION SYSTEM'!F7*((1+$S$6)^($B5-$A$2)))+'RISK PREMIUM'!$B8)*'ENVIRONMENTAL ADDER'!$B7)/10</f>
        <v>1.5868040817649436</v>
      </c>
      <c r="H5" s="91">
        <f>(('INCRM FIXED TRANSPORT'!$B7+'VARIABLE TRANSPORT'!$B7+'FIXED STORAGE'!$B7+'VARIABLE STORAGE'!$B7+'COMMODITY COST'!G6+'CARBON TAX'!$B8+('DISTRIBUTION SYSTEM'!G7*((1+$S$6)^($B5-$A$2)))+'RISK PREMIUM'!$B8)*'ENVIRONMENTAL ADDER'!$B7)/10</f>
        <v>1.5868040817649436</v>
      </c>
      <c r="I5" s="91">
        <f>(('INCRM FIXED TRANSPORT'!$B7+'VARIABLE TRANSPORT'!$B7+'FIXED STORAGE'!$B7+'VARIABLE STORAGE'!$B7+'COMMODITY COST'!H6+'CARBON TAX'!$B8+('DISTRIBUTION SYSTEM'!H7*((1+$S$6)^($B5-$A$2)))+'RISK PREMIUM'!$B8)*'ENVIRONMENTAL ADDER'!$B7)/10</f>
        <v>1.5868040817649436</v>
      </c>
      <c r="K5" s="90">
        <f t="shared" si="7"/>
        <v>2027</v>
      </c>
      <c r="L5" s="91">
        <f t="shared" si="0"/>
        <v>1.4098548742279002</v>
      </c>
      <c r="M5" s="91">
        <f t="shared" si="1"/>
        <v>1.4098548742279002</v>
      </c>
      <c r="N5" s="91">
        <f t="shared" si="2"/>
        <v>1.4098548742279002</v>
      </c>
      <c r="O5" s="91">
        <f t="shared" si="3"/>
        <v>1.4098548742279002</v>
      </c>
      <c r="P5" s="91">
        <f t="shared" si="4"/>
        <v>1.4098548742279002</v>
      </c>
      <c r="Q5" s="91">
        <f t="shared" si="5"/>
        <v>1.4098548742279002</v>
      </c>
      <c r="R5" s="91">
        <f t="shared" si="6"/>
        <v>1.4098548742279002</v>
      </c>
      <c r="S5" s="156"/>
      <c r="T5" s="156"/>
      <c r="U5" s="156"/>
      <c r="V5" s="156"/>
      <c r="W5" s="157"/>
    </row>
    <row r="6" spans="1:23" ht="14.45" customHeight="1" x14ac:dyDescent="0.25">
      <c r="B6" s="90">
        <f t="shared" si="8"/>
        <v>2028</v>
      </c>
      <c r="C6" s="91">
        <f>(('INCRM FIXED TRANSPORT'!$B8+'VARIABLE TRANSPORT'!$B8+'FIXED STORAGE'!$B8+'VARIABLE STORAGE'!$B8+'COMMODITY COST'!B7+'CARBON TAX'!$B9+('DISTRIBUTION SYSTEM'!B8*((1+$S$6)^($B6-$A$2)))+'RISK PREMIUM'!$B9)*'ENVIRONMENTAL ADDER'!$B8)/10</f>
        <v>1.6687081789173568</v>
      </c>
      <c r="D6" s="91">
        <f>(('INCRM FIXED TRANSPORT'!$B8+'VARIABLE TRANSPORT'!$B8+'FIXED STORAGE'!$B8+'VARIABLE STORAGE'!$B8+'COMMODITY COST'!C7+'CARBON TAX'!$B9+('DISTRIBUTION SYSTEM'!C8*((1+$S$6)^($B6-$A$2)))+'RISK PREMIUM'!$B9)*'ENVIRONMENTAL ADDER'!$B8)/10</f>
        <v>1.6687081789173568</v>
      </c>
      <c r="E6" s="91">
        <f>(('INCRM FIXED TRANSPORT'!$B8+'VARIABLE TRANSPORT'!$B8+'FIXED STORAGE'!$B8+'VARIABLE STORAGE'!$B8+'COMMODITY COST'!D7+'CARBON TAX'!$B9+('DISTRIBUTION SYSTEM'!D8*((1+$S$6)^($B6-$A$2)))+'RISK PREMIUM'!$B9)*'ENVIRONMENTAL ADDER'!$B8)/10</f>
        <v>1.6687081789173568</v>
      </c>
      <c r="F6" s="91">
        <f>(('INCRM FIXED TRANSPORT'!$B8+'VARIABLE TRANSPORT'!$B8+'FIXED STORAGE'!$B8+'VARIABLE STORAGE'!$B8+'COMMODITY COST'!E7+'CARBON TAX'!$B9+('DISTRIBUTION SYSTEM'!E8*((1+$S$6)^($B6-$A$2)))+'RISK PREMIUM'!$B9)*'ENVIRONMENTAL ADDER'!$B8)/10</f>
        <v>1.6687081789173568</v>
      </c>
      <c r="G6" s="91">
        <f>(('INCRM FIXED TRANSPORT'!$B8+'VARIABLE TRANSPORT'!$B8+'FIXED STORAGE'!$B8+'VARIABLE STORAGE'!$B8+'COMMODITY COST'!F7+'CARBON TAX'!$B9+('DISTRIBUTION SYSTEM'!F8*((1+$S$6)^($B6-$A$2)))+'RISK PREMIUM'!$B9)*'ENVIRONMENTAL ADDER'!$B8)/10</f>
        <v>1.6687081789173568</v>
      </c>
      <c r="H6" s="91">
        <f>(('INCRM FIXED TRANSPORT'!$B8+'VARIABLE TRANSPORT'!$B8+'FIXED STORAGE'!$B8+'VARIABLE STORAGE'!$B8+'COMMODITY COST'!G7+'CARBON TAX'!$B9+('DISTRIBUTION SYSTEM'!G8*((1+$S$6)^($B6-$A$2)))+'RISK PREMIUM'!$B9)*'ENVIRONMENTAL ADDER'!$B8)/10</f>
        <v>1.6687081789173568</v>
      </c>
      <c r="I6" s="91">
        <f>(('INCRM FIXED TRANSPORT'!$B8+'VARIABLE TRANSPORT'!$B8+'FIXED STORAGE'!$B8+'VARIABLE STORAGE'!$B8+'COMMODITY COST'!H7+'CARBON TAX'!$B9+('DISTRIBUTION SYSTEM'!H8*((1+$S$6)^($B6-$A$2)))+'RISK PREMIUM'!$B9)*'ENVIRONMENTAL ADDER'!$B8)/10</f>
        <v>1.6687081789173568</v>
      </c>
      <c r="K6" s="90">
        <f t="shared" si="7"/>
        <v>2028</v>
      </c>
      <c r="L6" s="91">
        <f t="shared" si="0"/>
        <v>1.3975168288425373</v>
      </c>
      <c r="M6" s="91">
        <f t="shared" si="1"/>
        <v>1.3975168288425373</v>
      </c>
      <c r="N6" s="91">
        <f t="shared" si="2"/>
        <v>1.3975168288425373</v>
      </c>
      <c r="O6" s="91">
        <f t="shared" si="3"/>
        <v>1.3975168288425373</v>
      </c>
      <c r="P6" s="91">
        <f t="shared" si="4"/>
        <v>1.3975168288425373</v>
      </c>
      <c r="Q6" s="91">
        <f t="shared" si="5"/>
        <v>1.3975168288425373</v>
      </c>
      <c r="R6" s="91">
        <f t="shared" si="6"/>
        <v>1.3975168288425373</v>
      </c>
      <c r="S6" s="158">
        <v>6.0900000000000003E-2</v>
      </c>
      <c r="T6" s="158"/>
      <c r="U6" s="158"/>
      <c r="V6" s="158"/>
      <c r="W6" s="159"/>
    </row>
    <row r="7" spans="1:23" ht="15" customHeight="1" thickBot="1" x14ac:dyDescent="0.3">
      <c r="B7" s="90">
        <f t="shared" si="8"/>
        <v>2029</v>
      </c>
      <c r="C7" s="91">
        <f>(('INCRM FIXED TRANSPORT'!$B9+'VARIABLE TRANSPORT'!$B9+'FIXED STORAGE'!$B9+'VARIABLE STORAGE'!$B9+'COMMODITY COST'!B8+'CARBON TAX'!$B10+('DISTRIBUTION SYSTEM'!B9*((1+$S$6)^($B7-$A$2)))+'RISK PREMIUM'!$B10)*'ENVIRONMENTAL ADDER'!$B9)/10</f>
        <v>1.7213728826254595</v>
      </c>
      <c r="D7" s="91">
        <f>(('INCRM FIXED TRANSPORT'!$B9+'VARIABLE TRANSPORT'!$B9+'FIXED STORAGE'!$B9+'VARIABLE STORAGE'!$B9+'COMMODITY COST'!C8+'CARBON TAX'!$B10+('DISTRIBUTION SYSTEM'!C9*((1+$S$6)^($B7-$A$2)))+'RISK PREMIUM'!$B10)*'ENVIRONMENTAL ADDER'!$B9)/10</f>
        <v>1.7213728826254595</v>
      </c>
      <c r="E7" s="91">
        <f>(('INCRM FIXED TRANSPORT'!$B9+'VARIABLE TRANSPORT'!$B9+'FIXED STORAGE'!$B9+'VARIABLE STORAGE'!$B9+'COMMODITY COST'!D8+'CARBON TAX'!$B10+('DISTRIBUTION SYSTEM'!D9*((1+$S$6)^($B7-$A$2)))+'RISK PREMIUM'!$B10)*'ENVIRONMENTAL ADDER'!$B9)/10</f>
        <v>1.7213728826254595</v>
      </c>
      <c r="F7" s="91">
        <f>(('INCRM FIXED TRANSPORT'!$B9+'VARIABLE TRANSPORT'!$B9+'FIXED STORAGE'!$B9+'VARIABLE STORAGE'!$B9+'COMMODITY COST'!E8+'CARBON TAX'!$B10+('DISTRIBUTION SYSTEM'!E9*((1+$S$6)^($B7-$A$2)))+'RISK PREMIUM'!$B10)*'ENVIRONMENTAL ADDER'!$B9)/10</f>
        <v>1.7213728826254595</v>
      </c>
      <c r="G7" s="91">
        <f>(('INCRM FIXED TRANSPORT'!$B9+'VARIABLE TRANSPORT'!$B9+'FIXED STORAGE'!$B9+'VARIABLE STORAGE'!$B9+'COMMODITY COST'!F8+'CARBON TAX'!$B10+('DISTRIBUTION SYSTEM'!F9*((1+$S$6)^($B7-$A$2)))+'RISK PREMIUM'!$B10)*'ENVIRONMENTAL ADDER'!$B9)/10</f>
        <v>1.7213728826254595</v>
      </c>
      <c r="H7" s="91">
        <f>(('INCRM FIXED TRANSPORT'!$B9+'VARIABLE TRANSPORT'!$B9+'FIXED STORAGE'!$B9+'VARIABLE STORAGE'!$B9+'COMMODITY COST'!G8+'CARBON TAX'!$B10+('DISTRIBUTION SYSTEM'!G9*((1+$S$6)^($B7-$A$2)))+'RISK PREMIUM'!$B10)*'ENVIRONMENTAL ADDER'!$B9)/10</f>
        <v>1.7213728826254595</v>
      </c>
      <c r="I7" s="91">
        <f>(('INCRM FIXED TRANSPORT'!$B9+'VARIABLE TRANSPORT'!$B9+'FIXED STORAGE'!$B9+'VARIABLE STORAGE'!$B9+'COMMODITY COST'!H8+'CARBON TAX'!$B10+('DISTRIBUTION SYSTEM'!H9*((1+$S$6)^($B7-$A$2)))+'RISK PREMIUM'!$B10)*'ENVIRONMENTAL ADDER'!$B9)/10</f>
        <v>1.7213728826254595</v>
      </c>
      <c r="K7" s="90">
        <f t="shared" si="7"/>
        <v>2029</v>
      </c>
      <c r="L7" s="91">
        <f t="shared" si="0"/>
        <v>1.3588676492421365</v>
      </c>
      <c r="M7" s="91">
        <f t="shared" si="1"/>
        <v>1.3588676492421365</v>
      </c>
      <c r="N7" s="91">
        <f t="shared" si="2"/>
        <v>1.3588676492421365</v>
      </c>
      <c r="O7" s="91">
        <f t="shared" si="3"/>
        <v>1.3588676492421365</v>
      </c>
      <c r="P7" s="91">
        <f t="shared" si="4"/>
        <v>1.3588676492421365</v>
      </c>
      <c r="Q7" s="91">
        <f t="shared" si="5"/>
        <v>1.3588676492421365</v>
      </c>
      <c r="R7" s="91">
        <f t="shared" si="6"/>
        <v>1.3588676492421365</v>
      </c>
      <c r="S7" s="160"/>
      <c r="T7" s="160"/>
      <c r="U7" s="160"/>
      <c r="V7" s="160"/>
      <c r="W7" s="161"/>
    </row>
    <row r="8" spans="1:23" ht="14.45" customHeight="1" x14ac:dyDescent="0.25">
      <c r="B8" s="90">
        <f t="shared" si="8"/>
        <v>2030</v>
      </c>
      <c r="C8" s="91">
        <f>(('INCRM FIXED TRANSPORT'!$B10+'VARIABLE TRANSPORT'!$B10+'FIXED STORAGE'!$B10+'VARIABLE STORAGE'!$B10+'COMMODITY COST'!B9+'CARBON TAX'!$B11+('DISTRIBUTION SYSTEM'!B10*((1+$S$6)^($B8-$A$2)))+'RISK PREMIUM'!$B11)*'ENVIRONMENTAL ADDER'!$B10)/10</f>
        <v>1.6697895304439136</v>
      </c>
      <c r="D8" s="91">
        <f>(('INCRM FIXED TRANSPORT'!$B10+'VARIABLE TRANSPORT'!$B10+'FIXED STORAGE'!$B10+'VARIABLE STORAGE'!$B10+'COMMODITY COST'!C9+'CARBON TAX'!$B11+('DISTRIBUTION SYSTEM'!C10*((1+$S$6)^($B8-$A$2)))+'RISK PREMIUM'!$B11)*'ENVIRONMENTAL ADDER'!$B10)/10</f>
        <v>1.6697895304439136</v>
      </c>
      <c r="E8" s="91">
        <f>(('INCRM FIXED TRANSPORT'!$B10+'VARIABLE TRANSPORT'!$B10+'FIXED STORAGE'!$B10+'VARIABLE STORAGE'!$B10+'COMMODITY COST'!D9+'CARBON TAX'!$B11+('DISTRIBUTION SYSTEM'!D10*((1+$S$6)^($B8-$A$2)))+'RISK PREMIUM'!$B11)*'ENVIRONMENTAL ADDER'!$B10)/10</f>
        <v>1.6697895304439136</v>
      </c>
      <c r="F8" s="91">
        <f>(('INCRM FIXED TRANSPORT'!$B10+'VARIABLE TRANSPORT'!$B10+'FIXED STORAGE'!$B10+'VARIABLE STORAGE'!$B10+'COMMODITY COST'!E9+'CARBON TAX'!$B11+('DISTRIBUTION SYSTEM'!E10*((1+$S$6)^($B8-$A$2)))+'RISK PREMIUM'!$B11)*'ENVIRONMENTAL ADDER'!$B10)/10</f>
        <v>1.6697895304439136</v>
      </c>
      <c r="G8" s="91">
        <f>(('INCRM FIXED TRANSPORT'!$B10+'VARIABLE TRANSPORT'!$B10+'FIXED STORAGE'!$B10+'VARIABLE STORAGE'!$B10+'COMMODITY COST'!F9+'CARBON TAX'!$B11+('DISTRIBUTION SYSTEM'!F10*((1+$S$6)^($B8-$A$2)))+'RISK PREMIUM'!$B11)*'ENVIRONMENTAL ADDER'!$B10)/10</f>
        <v>1.6697895304439136</v>
      </c>
      <c r="H8" s="91">
        <f>(('INCRM FIXED TRANSPORT'!$B10+'VARIABLE TRANSPORT'!$B10+'FIXED STORAGE'!$B10+'VARIABLE STORAGE'!$B10+'COMMODITY COST'!G9+'CARBON TAX'!$B11+('DISTRIBUTION SYSTEM'!G10*((1+$S$6)^($B8-$A$2)))+'RISK PREMIUM'!$B11)*'ENVIRONMENTAL ADDER'!$B10)/10</f>
        <v>1.6697895304439136</v>
      </c>
      <c r="I8" s="91">
        <f>(('INCRM FIXED TRANSPORT'!$B10+'VARIABLE TRANSPORT'!$B10+'FIXED STORAGE'!$B10+'VARIABLE STORAGE'!$B10+'COMMODITY COST'!H9+'CARBON TAX'!$B11+('DISTRIBUTION SYSTEM'!H10*((1+$S$6)^($B8-$A$2)))+'RISK PREMIUM'!$B11)*'ENVIRONMENTAL ADDER'!$B10)/10</f>
        <v>1.6697895304439136</v>
      </c>
      <c r="K8" s="90">
        <f t="shared" si="7"/>
        <v>2030</v>
      </c>
      <c r="L8" s="91">
        <f t="shared" si="0"/>
        <v>1.2424802287615762</v>
      </c>
      <c r="M8" s="91">
        <f t="shared" si="1"/>
        <v>1.2424802287615762</v>
      </c>
      <c r="N8" s="91">
        <f t="shared" si="2"/>
        <v>1.2424802287615762</v>
      </c>
      <c r="O8" s="91">
        <f t="shared" si="3"/>
        <v>1.2424802287615762</v>
      </c>
      <c r="P8" s="91">
        <f t="shared" si="4"/>
        <v>1.2424802287615762</v>
      </c>
      <c r="Q8" s="91">
        <f t="shared" si="5"/>
        <v>1.2424802287615762</v>
      </c>
      <c r="R8" s="91">
        <f t="shared" si="6"/>
        <v>1.2424802287615762</v>
      </c>
      <c r="S8" s="2"/>
      <c r="T8" s="2"/>
      <c r="U8" s="2"/>
      <c r="V8" s="2"/>
      <c r="W8" s="31"/>
    </row>
    <row r="9" spans="1:23" ht="14.45" customHeight="1" x14ac:dyDescent="0.25">
      <c r="B9" s="90">
        <f t="shared" si="8"/>
        <v>2031</v>
      </c>
      <c r="C9" s="91">
        <f>(('INCRM FIXED TRANSPORT'!$B11+'VARIABLE TRANSPORT'!$B11+'FIXED STORAGE'!$B11+'VARIABLE STORAGE'!$B11+'COMMODITY COST'!B10+'CARBON TAX'!$B12+('DISTRIBUTION SYSTEM'!B11*((1+$S$6)^($B9-$A$2)))+'RISK PREMIUM'!$B12)*'ENVIRONMENTAL ADDER'!$B11)/10</f>
        <v>1.8532120601646951</v>
      </c>
      <c r="D9" s="91">
        <f>(('INCRM FIXED TRANSPORT'!$B11+'VARIABLE TRANSPORT'!$B11+'FIXED STORAGE'!$B11+'VARIABLE STORAGE'!$B11+'COMMODITY COST'!C10+'CARBON TAX'!$B12+('DISTRIBUTION SYSTEM'!C11*((1+$S$6)^($B9-$A$2)))+'RISK PREMIUM'!$B12)*'ENVIRONMENTAL ADDER'!$B11)/10</f>
        <v>1.8532120601646951</v>
      </c>
      <c r="E9" s="91">
        <f>(('INCRM FIXED TRANSPORT'!$B11+'VARIABLE TRANSPORT'!$B11+'FIXED STORAGE'!$B11+'VARIABLE STORAGE'!$B11+'COMMODITY COST'!D10+'CARBON TAX'!$B12+('DISTRIBUTION SYSTEM'!D11*((1+$S$6)^($B9-$A$2)))+'RISK PREMIUM'!$B12)*'ENVIRONMENTAL ADDER'!$B11)/10</f>
        <v>1.8532120601646951</v>
      </c>
      <c r="F9" s="91">
        <f>(('INCRM FIXED TRANSPORT'!$B11+'VARIABLE TRANSPORT'!$B11+'FIXED STORAGE'!$B11+'VARIABLE STORAGE'!$B11+'COMMODITY COST'!E10+'CARBON TAX'!$B12+('DISTRIBUTION SYSTEM'!E11*((1+$S$6)^($B9-$A$2)))+'RISK PREMIUM'!$B12)*'ENVIRONMENTAL ADDER'!$B11)/10</f>
        <v>1.8532120601646951</v>
      </c>
      <c r="G9" s="91">
        <f>(('INCRM FIXED TRANSPORT'!$B11+'VARIABLE TRANSPORT'!$B11+'FIXED STORAGE'!$B11+'VARIABLE STORAGE'!$B11+'COMMODITY COST'!F10+'CARBON TAX'!$B12+('DISTRIBUTION SYSTEM'!F11*((1+$S$6)^($B9-$A$2)))+'RISK PREMIUM'!$B12)*'ENVIRONMENTAL ADDER'!$B11)/10</f>
        <v>1.8532120601646951</v>
      </c>
      <c r="H9" s="91">
        <f>(('INCRM FIXED TRANSPORT'!$B11+'VARIABLE TRANSPORT'!$B11+'FIXED STORAGE'!$B11+'VARIABLE STORAGE'!$B11+'COMMODITY COST'!G10+'CARBON TAX'!$B12+('DISTRIBUTION SYSTEM'!G11*((1+$S$6)^($B9-$A$2)))+'RISK PREMIUM'!$B12)*'ENVIRONMENTAL ADDER'!$B11)/10</f>
        <v>1.8532120601646951</v>
      </c>
      <c r="I9" s="91">
        <f>(('INCRM FIXED TRANSPORT'!$B11+'VARIABLE TRANSPORT'!$B11+'FIXED STORAGE'!$B11+'VARIABLE STORAGE'!$B11+'COMMODITY COST'!H10+'CARBON TAX'!$B12+('DISTRIBUTION SYSTEM'!H11*((1+$S$6)^($B9-$A$2)))+'RISK PREMIUM'!$B12)*'ENVIRONMENTAL ADDER'!$B11)/10</f>
        <v>1.8532120601646951</v>
      </c>
      <c r="K9" s="90">
        <f t="shared" si="7"/>
        <v>2031</v>
      </c>
      <c r="L9" s="91">
        <f t="shared" si="0"/>
        <v>1.2998056527304869</v>
      </c>
      <c r="M9" s="91">
        <f t="shared" si="1"/>
        <v>1.2998056527304869</v>
      </c>
      <c r="N9" s="91">
        <f t="shared" si="2"/>
        <v>1.2998056527304869</v>
      </c>
      <c r="O9" s="91">
        <f t="shared" si="3"/>
        <v>1.2998056527304869</v>
      </c>
      <c r="P9" s="91">
        <f t="shared" si="4"/>
        <v>1.2998056527304869</v>
      </c>
      <c r="Q9" s="91">
        <f t="shared" si="5"/>
        <v>1.2998056527304869</v>
      </c>
      <c r="R9" s="91">
        <f t="shared" si="6"/>
        <v>1.2998056527304869</v>
      </c>
      <c r="S9" s="162" t="s">
        <v>65</v>
      </c>
      <c r="T9" s="162"/>
      <c r="U9" s="162"/>
      <c r="V9" s="162"/>
      <c r="W9" s="163"/>
    </row>
    <row r="10" spans="1:23" ht="14.45" customHeight="1" x14ac:dyDescent="0.25">
      <c r="B10" s="90">
        <f t="shared" si="8"/>
        <v>2032</v>
      </c>
      <c r="C10" s="91">
        <f>(('INCRM FIXED TRANSPORT'!$B12+'VARIABLE TRANSPORT'!$B12+'FIXED STORAGE'!$B12+'VARIABLE STORAGE'!$B12+'COMMODITY COST'!B11+'CARBON TAX'!$B13+('DISTRIBUTION SYSTEM'!B12*((1+$S$6)^($B10-$A$2)))+'RISK PREMIUM'!$B13)*'ENVIRONMENTAL ADDER'!$B12)/10</f>
        <v>1.9485294857618076</v>
      </c>
      <c r="D10" s="91">
        <f>(('INCRM FIXED TRANSPORT'!$B12+'VARIABLE TRANSPORT'!$B12+'FIXED STORAGE'!$B12+'VARIABLE STORAGE'!$B12+'COMMODITY COST'!C11+'CARBON TAX'!$B13+('DISTRIBUTION SYSTEM'!C12*((1+$S$6)^($B10-$A$2)))+'RISK PREMIUM'!$B13)*'ENVIRONMENTAL ADDER'!$B12)/10</f>
        <v>1.9485294857618076</v>
      </c>
      <c r="E10" s="91">
        <f>(('INCRM FIXED TRANSPORT'!$B12+'VARIABLE TRANSPORT'!$B12+'FIXED STORAGE'!$B12+'VARIABLE STORAGE'!$B12+'COMMODITY COST'!D11+'CARBON TAX'!$B13+('DISTRIBUTION SYSTEM'!D12*((1+$S$6)^($B10-$A$2)))+'RISK PREMIUM'!$B13)*'ENVIRONMENTAL ADDER'!$B12)/10</f>
        <v>1.9485294857618076</v>
      </c>
      <c r="F10" s="91">
        <f>(('INCRM FIXED TRANSPORT'!$B12+'VARIABLE TRANSPORT'!$B12+'FIXED STORAGE'!$B12+'VARIABLE STORAGE'!$B12+'COMMODITY COST'!E11+'CARBON TAX'!$B13+('DISTRIBUTION SYSTEM'!E12*((1+$S$6)^($B10-$A$2)))+'RISK PREMIUM'!$B13)*'ENVIRONMENTAL ADDER'!$B12)/10</f>
        <v>1.9485294857618076</v>
      </c>
      <c r="G10" s="91">
        <f>(('INCRM FIXED TRANSPORT'!$B12+'VARIABLE TRANSPORT'!$B12+'FIXED STORAGE'!$B12+'VARIABLE STORAGE'!$B12+'COMMODITY COST'!F11+'CARBON TAX'!$B13+('DISTRIBUTION SYSTEM'!F12*((1+$S$6)^($B10-$A$2)))+'RISK PREMIUM'!$B13)*'ENVIRONMENTAL ADDER'!$B12)/10</f>
        <v>1.9485294857618076</v>
      </c>
      <c r="H10" s="91">
        <f>(('INCRM FIXED TRANSPORT'!$B12+'VARIABLE TRANSPORT'!$B12+'FIXED STORAGE'!$B12+'VARIABLE STORAGE'!$B12+'COMMODITY COST'!G11+'CARBON TAX'!$B13+('DISTRIBUTION SYSTEM'!G12*((1+$S$6)^($B10-$A$2)))+'RISK PREMIUM'!$B13)*'ENVIRONMENTAL ADDER'!$B12)/10</f>
        <v>1.9485294857618076</v>
      </c>
      <c r="I10" s="91">
        <f>(('INCRM FIXED TRANSPORT'!$B12+'VARIABLE TRANSPORT'!$B12+'FIXED STORAGE'!$B12+'VARIABLE STORAGE'!$B12+'COMMODITY COST'!H11+'CARBON TAX'!$B13+('DISTRIBUTION SYSTEM'!H12*((1+$S$6)^($B10-$A$2)))+'RISK PREMIUM'!$B13)*'ENVIRONMENTAL ADDER'!$B12)/10</f>
        <v>1.9485294857618076</v>
      </c>
      <c r="K10" s="90">
        <f t="shared" si="7"/>
        <v>2032</v>
      </c>
      <c r="L10" s="91">
        <f t="shared" si="0"/>
        <v>1.2882075381997287</v>
      </c>
      <c r="M10" s="91">
        <f t="shared" si="1"/>
        <v>1.2882075381997287</v>
      </c>
      <c r="N10" s="91">
        <f t="shared" si="2"/>
        <v>1.2882075381997287</v>
      </c>
      <c r="O10" s="91">
        <f t="shared" si="3"/>
        <v>1.2882075381997287</v>
      </c>
      <c r="P10" s="91">
        <f t="shared" si="4"/>
        <v>1.2882075381997287</v>
      </c>
      <c r="Q10" s="91">
        <f t="shared" si="5"/>
        <v>1.2882075381997287</v>
      </c>
      <c r="R10" s="91">
        <f t="shared" si="6"/>
        <v>1.2882075381997287</v>
      </c>
      <c r="S10" s="162"/>
      <c r="T10" s="162"/>
      <c r="U10" s="162"/>
      <c r="V10" s="162"/>
      <c r="W10" s="163"/>
    </row>
    <row r="11" spans="1:23" x14ac:dyDescent="0.25">
      <c r="B11" s="90">
        <f t="shared" si="8"/>
        <v>2033</v>
      </c>
      <c r="C11" s="91">
        <f>(('INCRM FIXED TRANSPORT'!$B13+'VARIABLE TRANSPORT'!$B13+'FIXED STORAGE'!$B13+'VARIABLE STORAGE'!$B13+'COMMODITY COST'!B12+'CARBON TAX'!$B14+('DISTRIBUTION SYSTEM'!B13*((1+$S$6)^($B11-$A$2)))+'RISK PREMIUM'!$B14)*'ENVIRONMENTAL ADDER'!$B13)/10</f>
        <v>2.0301674962831373</v>
      </c>
      <c r="D11" s="91">
        <f>(('INCRM FIXED TRANSPORT'!$B13+'VARIABLE TRANSPORT'!$B13+'FIXED STORAGE'!$B13+'VARIABLE STORAGE'!$B13+'COMMODITY COST'!C12+'CARBON TAX'!$B14+('DISTRIBUTION SYSTEM'!C13*((1+$S$6)^($B11-$A$2)))+'RISK PREMIUM'!$B14)*'ENVIRONMENTAL ADDER'!$B13)/10</f>
        <v>2.0301674962831373</v>
      </c>
      <c r="E11" s="91">
        <f>(('INCRM FIXED TRANSPORT'!$B13+'VARIABLE TRANSPORT'!$B13+'FIXED STORAGE'!$B13+'VARIABLE STORAGE'!$B13+'COMMODITY COST'!D12+'CARBON TAX'!$B14+('DISTRIBUTION SYSTEM'!D13*((1+$S$6)^($B11-$A$2)))+'RISK PREMIUM'!$B14)*'ENVIRONMENTAL ADDER'!$B13)/10</f>
        <v>2.0301674962831373</v>
      </c>
      <c r="F11" s="91">
        <f>(('INCRM FIXED TRANSPORT'!$B13+'VARIABLE TRANSPORT'!$B13+'FIXED STORAGE'!$B13+'VARIABLE STORAGE'!$B13+'COMMODITY COST'!E12+'CARBON TAX'!$B14+('DISTRIBUTION SYSTEM'!E13*((1+$S$6)^($B11-$A$2)))+'RISK PREMIUM'!$B14)*'ENVIRONMENTAL ADDER'!$B13)/10</f>
        <v>2.0301674962831373</v>
      </c>
      <c r="G11" s="91">
        <f>(('INCRM FIXED TRANSPORT'!$B13+'VARIABLE TRANSPORT'!$B13+'FIXED STORAGE'!$B13+'VARIABLE STORAGE'!$B13+'COMMODITY COST'!F12+'CARBON TAX'!$B14+('DISTRIBUTION SYSTEM'!F13*((1+$S$6)^($B11-$A$2)))+'RISK PREMIUM'!$B14)*'ENVIRONMENTAL ADDER'!$B13)/10</f>
        <v>2.0301674962831373</v>
      </c>
      <c r="H11" s="91">
        <f>(('INCRM FIXED TRANSPORT'!$B13+'VARIABLE TRANSPORT'!$B13+'FIXED STORAGE'!$B13+'VARIABLE STORAGE'!$B13+'COMMODITY COST'!G12+'CARBON TAX'!$B14+('DISTRIBUTION SYSTEM'!G13*((1+$S$6)^($B11-$A$2)))+'RISK PREMIUM'!$B14)*'ENVIRONMENTAL ADDER'!$B13)/10</f>
        <v>2.0301674962831373</v>
      </c>
      <c r="I11" s="91">
        <f>(('INCRM FIXED TRANSPORT'!$B13+'VARIABLE TRANSPORT'!$B13+'FIXED STORAGE'!$B13+'VARIABLE STORAGE'!$B13+'COMMODITY COST'!H12+'CARBON TAX'!$B14+('DISTRIBUTION SYSTEM'!H13*((1+$S$6)^($B11-$A$2)))+'RISK PREMIUM'!$B14)*'ENVIRONMENTAL ADDER'!$B13)/10</f>
        <v>2.0301674962831373</v>
      </c>
      <c r="K11" s="90">
        <f t="shared" si="7"/>
        <v>2033</v>
      </c>
      <c r="L11" s="91">
        <f t="shared" si="0"/>
        <v>1.2651332647629256</v>
      </c>
      <c r="M11" s="91">
        <f t="shared" si="1"/>
        <v>1.2651332647629256</v>
      </c>
      <c r="N11" s="91">
        <f t="shared" si="2"/>
        <v>1.2651332647629256</v>
      </c>
      <c r="O11" s="91">
        <f t="shared" si="3"/>
        <v>1.2651332647629256</v>
      </c>
      <c r="P11" s="91">
        <f t="shared" si="4"/>
        <v>1.2651332647629256</v>
      </c>
      <c r="Q11" s="91">
        <f t="shared" si="5"/>
        <v>1.2651332647629256</v>
      </c>
      <c r="R11" s="91">
        <f t="shared" si="6"/>
        <v>1.2651332647629256</v>
      </c>
      <c r="S11" s="2"/>
      <c r="T11" s="2"/>
      <c r="U11" s="2"/>
      <c r="V11" s="2"/>
      <c r="W11" s="31"/>
    </row>
    <row r="12" spans="1:23" ht="15.75" thickBot="1" x14ac:dyDescent="0.3">
      <c r="B12" s="90">
        <f t="shared" si="8"/>
        <v>2034</v>
      </c>
      <c r="C12" s="91">
        <f>(('INCRM FIXED TRANSPORT'!$B14+'VARIABLE TRANSPORT'!$B14+'FIXED STORAGE'!$B14+'VARIABLE STORAGE'!$B14+'COMMODITY COST'!B13+'CARBON TAX'!$B15+('DISTRIBUTION SYSTEM'!B14*((1+$S$6)^($B12-$A$2)))+'RISK PREMIUM'!$B15)*'ENVIRONMENTAL ADDER'!$B14)/10</f>
        <v>2.1080803240562833</v>
      </c>
      <c r="D12" s="91">
        <f>(('INCRM FIXED TRANSPORT'!$B14+'VARIABLE TRANSPORT'!$B14+'FIXED STORAGE'!$B14+'VARIABLE STORAGE'!$B14+'COMMODITY COST'!C13+'CARBON TAX'!$B15+('DISTRIBUTION SYSTEM'!C14*((1+$S$6)^($B12-$A$2)))+'RISK PREMIUM'!$B15)*'ENVIRONMENTAL ADDER'!$B14)/10</f>
        <v>2.1080803240562833</v>
      </c>
      <c r="E12" s="91">
        <f>(('INCRM FIXED TRANSPORT'!$B14+'VARIABLE TRANSPORT'!$B14+'FIXED STORAGE'!$B14+'VARIABLE STORAGE'!$B14+'COMMODITY COST'!D13+'CARBON TAX'!$B15+('DISTRIBUTION SYSTEM'!D14*((1+$S$6)^($B12-$A$2)))+'RISK PREMIUM'!$B15)*'ENVIRONMENTAL ADDER'!$B14)/10</f>
        <v>2.1080803240562833</v>
      </c>
      <c r="F12" s="91">
        <f>(('INCRM FIXED TRANSPORT'!$B14+'VARIABLE TRANSPORT'!$B14+'FIXED STORAGE'!$B14+'VARIABLE STORAGE'!$B14+'COMMODITY COST'!E13+'CARBON TAX'!$B15+('DISTRIBUTION SYSTEM'!E14*((1+$S$6)^($B12-$A$2)))+'RISK PREMIUM'!$B15)*'ENVIRONMENTAL ADDER'!$B14)/10</f>
        <v>2.1080803240562833</v>
      </c>
      <c r="G12" s="91">
        <f>(('INCRM FIXED TRANSPORT'!$B14+'VARIABLE TRANSPORT'!$B14+'FIXED STORAGE'!$B14+'VARIABLE STORAGE'!$B14+'COMMODITY COST'!F13+'CARBON TAX'!$B15+('DISTRIBUTION SYSTEM'!F14*((1+$S$6)^($B12-$A$2)))+'RISK PREMIUM'!$B15)*'ENVIRONMENTAL ADDER'!$B14)/10</f>
        <v>2.1080803240562833</v>
      </c>
      <c r="H12" s="91">
        <f>(('INCRM FIXED TRANSPORT'!$B14+'VARIABLE TRANSPORT'!$B14+'FIXED STORAGE'!$B14+'VARIABLE STORAGE'!$B14+'COMMODITY COST'!G13+'CARBON TAX'!$B15+('DISTRIBUTION SYSTEM'!G14*((1+$S$6)^($B12-$A$2)))+'RISK PREMIUM'!$B15)*'ENVIRONMENTAL ADDER'!$B14)/10</f>
        <v>2.1080803240562833</v>
      </c>
      <c r="I12" s="91">
        <f>(('INCRM FIXED TRANSPORT'!$B14+'VARIABLE TRANSPORT'!$B14+'FIXED STORAGE'!$B14+'VARIABLE STORAGE'!$B14+'COMMODITY COST'!H13+'CARBON TAX'!$B15+('DISTRIBUTION SYSTEM'!H14*((1+$S$6)^($B12-$A$2)))+'RISK PREMIUM'!$B15)*'ENVIRONMENTAL ADDER'!$B14)/10</f>
        <v>2.1080803240562833</v>
      </c>
      <c r="K12" s="90">
        <f t="shared" si="7"/>
        <v>2034</v>
      </c>
      <c r="L12" s="91">
        <f t="shared" si="0"/>
        <v>1.2382750147726467</v>
      </c>
      <c r="M12" s="91">
        <f t="shared" si="1"/>
        <v>1.2382750147726467</v>
      </c>
      <c r="N12" s="91">
        <f t="shared" si="2"/>
        <v>1.2382750147726467</v>
      </c>
      <c r="O12" s="91">
        <f t="shared" si="3"/>
        <v>1.2382750147726467</v>
      </c>
      <c r="P12" s="91">
        <f t="shared" si="4"/>
        <v>1.2382750147726467</v>
      </c>
      <c r="Q12" s="91">
        <f t="shared" si="5"/>
        <v>1.2382750147726467</v>
      </c>
      <c r="R12" s="91">
        <f t="shared" si="6"/>
        <v>1.2382750147726467</v>
      </c>
      <c r="S12" s="32" t="s">
        <v>66</v>
      </c>
      <c r="T12" s="45">
        <v>45519</v>
      </c>
      <c r="U12" s="32"/>
      <c r="V12" s="32"/>
      <c r="W12" s="33"/>
    </row>
    <row r="13" spans="1:23" x14ac:dyDescent="0.25">
      <c r="B13" s="90">
        <f t="shared" si="8"/>
        <v>2035</v>
      </c>
      <c r="C13" s="91">
        <f>(('INCRM FIXED TRANSPORT'!$B15+'VARIABLE TRANSPORT'!$B15+'FIXED STORAGE'!$B15+'VARIABLE STORAGE'!$B15+'COMMODITY COST'!B14+'CARBON TAX'!$B16+('DISTRIBUTION SYSTEM'!B15*((1+$S$6)^($B13-$A$2)))+'RISK PREMIUM'!$B16)*'ENVIRONMENTAL ADDER'!$B15)/10</f>
        <v>2.1841382874991142</v>
      </c>
      <c r="D13" s="91">
        <f>(('INCRM FIXED TRANSPORT'!$B15+'VARIABLE TRANSPORT'!$B15+'FIXED STORAGE'!$B15+'VARIABLE STORAGE'!$B15+'COMMODITY COST'!C14+'CARBON TAX'!$B16+('DISTRIBUTION SYSTEM'!C15*((1+$S$6)^($B13-$A$2)))+'RISK PREMIUM'!$B16)*'ENVIRONMENTAL ADDER'!$B15)/10</f>
        <v>2.1841382874991142</v>
      </c>
      <c r="E13" s="91">
        <f>(('INCRM FIXED TRANSPORT'!$B15+'VARIABLE TRANSPORT'!$B15+'FIXED STORAGE'!$B15+'VARIABLE STORAGE'!$B15+'COMMODITY COST'!D14+'CARBON TAX'!$B16+('DISTRIBUTION SYSTEM'!D15*((1+$S$6)^($B13-$A$2)))+'RISK PREMIUM'!$B16)*'ENVIRONMENTAL ADDER'!$B15)/10</f>
        <v>2.1841382874991142</v>
      </c>
      <c r="F13" s="91">
        <f>(('INCRM FIXED TRANSPORT'!$B15+'VARIABLE TRANSPORT'!$B15+'FIXED STORAGE'!$B15+'VARIABLE STORAGE'!$B15+'COMMODITY COST'!E14+'CARBON TAX'!$B16+('DISTRIBUTION SYSTEM'!E15*((1+$S$6)^($B13-$A$2)))+'RISK PREMIUM'!$B16)*'ENVIRONMENTAL ADDER'!$B15)/10</f>
        <v>2.1841382874991142</v>
      </c>
      <c r="G13" s="91">
        <f>(('INCRM FIXED TRANSPORT'!$B15+'VARIABLE TRANSPORT'!$B15+'FIXED STORAGE'!$B15+'VARIABLE STORAGE'!$B15+'COMMODITY COST'!F14+'CARBON TAX'!$B16+('DISTRIBUTION SYSTEM'!F15*((1+$S$6)^($B13-$A$2)))+'RISK PREMIUM'!$B16)*'ENVIRONMENTAL ADDER'!$B15)/10</f>
        <v>2.1841382874991142</v>
      </c>
      <c r="H13" s="91">
        <f>(('INCRM FIXED TRANSPORT'!$B15+'VARIABLE TRANSPORT'!$B15+'FIXED STORAGE'!$B15+'VARIABLE STORAGE'!$B15+'COMMODITY COST'!G14+'CARBON TAX'!$B16+('DISTRIBUTION SYSTEM'!G15*((1+$S$6)^($B13-$A$2)))+'RISK PREMIUM'!$B16)*'ENVIRONMENTAL ADDER'!$B15)/10</f>
        <v>2.1841382874991142</v>
      </c>
      <c r="I13" s="91">
        <f>(('INCRM FIXED TRANSPORT'!$B15+'VARIABLE TRANSPORT'!$B15+'FIXED STORAGE'!$B15+'VARIABLE STORAGE'!$B15+'COMMODITY COST'!H14+'CARBON TAX'!$B16+('DISTRIBUTION SYSTEM'!H15*((1+$S$6)^($B13-$A$2)))+'RISK PREMIUM'!$B16)*'ENVIRONMENTAL ADDER'!$B15)/10</f>
        <v>2.1841382874991142</v>
      </c>
      <c r="K13" s="90">
        <f t="shared" si="7"/>
        <v>2035</v>
      </c>
      <c r="L13" s="91">
        <f t="shared" si="0"/>
        <v>1.2093044135783222</v>
      </c>
      <c r="M13" s="91">
        <f t="shared" si="1"/>
        <v>1.2093044135783222</v>
      </c>
      <c r="N13" s="91">
        <f t="shared" si="2"/>
        <v>1.2093044135783222</v>
      </c>
      <c r="O13" s="91">
        <f t="shared" si="3"/>
        <v>1.2093044135783222</v>
      </c>
      <c r="P13" s="91">
        <f t="shared" si="4"/>
        <v>1.2093044135783222</v>
      </c>
      <c r="Q13" s="91">
        <f t="shared" si="5"/>
        <v>1.2093044135783222</v>
      </c>
      <c r="R13" s="91">
        <f t="shared" si="6"/>
        <v>1.2093044135783222</v>
      </c>
    </row>
    <row r="14" spans="1:23" x14ac:dyDescent="0.25">
      <c r="B14" s="90">
        <f t="shared" si="8"/>
        <v>2036</v>
      </c>
      <c r="C14" s="91">
        <f>(('INCRM FIXED TRANSPORT'!$B16+'VARIABLE TRANSPORT'!$B16+'FIXED STORAGE'!$B16+'VARIABLE STORAGE'!$B16+'COMMODITY COST'!B15+'CARBON TAX'!$B17+('DISTRIBUTION SYSTEM'!B16*((1+$S$6)^($B14-$A$2)))+'RISK PREMIUM'!$B17)*'ENVIRONMENTAL ADDER'!$B16)/10</f>
        <v>1.9507828495764403</v>
      </c>
      <c r="D14" s="91">
        <f>(('INCRM FIXED TRANSPORT'!$B16+'VARIABLE TRANSPORT'!$B16+'FIXED STORAGE'!$B16+'VARIABLE STORAGE'!$B16+'COMMODITY COST'!C15+'CARBON TAX'!$B17+('DISTRIBUTION SYSTEM'!C16*((1+$S$6)^($B14-$A$2)))+'RISK PREMIUM'!$B17)*'ENVIRONMENTAL ADDER'!$B16)/10</f>
        <v>1.9507828495764403</v>
      </c>
      <c r="E14" s="91">
        <f>(('INCRM FIXED TRANSPORT'!$B16+'VARIABLE TRANSPORT'!$B16+'FIXED STORAGE'!$B16+'VARIABLE STORAGE'!$B16+'COMMODITY COST'!D15+'CARBON TAX'!$B17+('DISTRIBUTION SYSTEM'!D16*((1+$S$6)^($B14-$A$2)))+'RISK PREMIUM'!$B17)*'ENVIRONMENTAL ADDER'!$B16)/10</f>
        <v>1.9507828495764403</v>
      </c>
      <c r="F14" s="91">
        <f>(('INCRM FIXED TRANSPORT'!$B16+'VARIABLE TRANSPORT'!$B16+'FIXED STORAGE'!$B16+'VARIABLE STORAGE'!$B16+'COMMODITY COST'!E15+'CARBON TAX'!$B17+('DISTRIBUTION SYSTEM'!E16*((1+$S$6)^($B14-$A$2)))+'RISK PREMIUM'!$B17)*'ENVIRONMENTAL ADDER'!$B16)/10</f>
        <v>1.9507828495764403</v>
      </c>
      <c r="G14" s="91">
        <f>(('INCRM FIXED TRANSPORT'!$B16+'VARIABLE TRANSPORT'!$B16+'FIXED STORAGE'!$B16+'VARIABLE STORAGE'!$B16+'COMMODITY COST'!F15+'CARBON TAX'!$B17+('DISTRIBUTION SYSTEM'!F16*((1+$S$6)^($B14-$A$2)))+'RISK PREMIUM'!$B17)*'ENVIRONMENTAL ADDER'!$B16)/10</f>
        <v>1.9507828495764403</v>
      </c>
      <c r="H14" s="91">
        <f>(('INCRM FIXED TRANSPORT'!$B16+'VARIABLE TRANSPORT'!$B16+'FIXED STORAGE'!$B16+'VARIABLE STORAGE'!$B16+'COMMODITY COST'!G15+'CARBON TAX'!$B17+('DISTRIBUTION SYSTEM'!G16*((1+$S$6)^($B14-$A$2)))+'RISK PREMIUM'!$B17)*'ENVIRONMENTAL ADDER'!$B16)/10</f>
        <v>1.9507828495764403</v>
      </c>
      <c r="I14" s="91">
        <f>(('INCRM FIXED TRANSPORT'!$B16+'VARIABLE TRANSPORT'!$B16+'FIXED STORAGE'!$B16+'VARIABLE STORAGE'!$B16+'COMMODITY COST'!H15+'CARBON TAX'!$B17+('DISTRIBUTION SYSTEM'!H16*((1+$S$6)^($B14-$A$2)))+'RISK PREMIUM'!$B17)*'ENVIRONMENTAL ADDER'!$B16)/10</f>
        <v>1.9507828495764403</v>
      </c>
      <c r="K14" s="90">
        <f t="shared" si="7"/>
        <v>2036</v>
      </c>
      <c r="L14" s="91">
        <f t="shared" si="0"/>
        <v>1.018098940044305</v>
      </c>
      <c r="M14" s="91">
        <f t="shared" si="1"/>
        <v>1.018098940044305</v>
      </c>
      <c r="N14" s="91">
        <f t="shared" si="2"/>
        <v>1.018098940044305</v>
      </c>
      <c r="O14" s="91">
        <f t="shared" si="3"/>
        <v>1.018098940044305</v>
      </c>
      <c r="P14" s="91">
        <f t="shared" si="4"/>
        <v>1.018098940044305</v>
      </c>
      <c r="Q14" s="91">
        <f t="shared" si="5"/>
        <v>1.018098940044305</v>
      </c>
      <c r="R14" s="91">
        <f t="shared" si="6"/>
        <v>1.018098940044305</v>
      </c>
      <c r="T14" s="59"/>
    </row>
    <row r="15" spans="1:23" x14ac:dyDescent="0.25">
      <c r="B15" s="90">
        <f t="shared" si="8"/>
        <v>2037</v>
      </c>
      <c r="C15" s="91">
        <f>(('INCRM FIXED TRANSPORT'!$B17+'VARIABLE TRANSPORT'!$B17+'FIXED STORAGE'!$B17+'VARIABLE STORAGE'!$B17+'COMMODITY COST'!B16+'CARBON TAX'!$B18+('DISTRIBUTION SYSTEM'!B17*((1+$S$6)^($B15-$A$2)))+'RISK PREMIUM'!$B18)*'ENVIRONMENTAL ADDER'!$B17)/10</f>
        <v>1.8672584420727305</v>
      </c>
      <c r="D15" s="91">
        <f>(('INCRM FIXED TRANSPORT'!$B17+'VARIABLE TRANSPORT'!$B17+'FIXED STORAGE'!$B17+'VARIABLE STORAGE'!$B17+'COMMODITY COST'!C16+'CARBON TAX'!$B18+('DISTRIBUTION SYSTEM'!C17*((1+$S$6)^($B15-$A$2)))+'RISK PREMIUM'!$B18)*'ENVIRONMENTAL ADDER'!$B17)/10</f>
        <v>1.8672584420727305</v>
      </c>
      <c r="E15" s="91">
        <f>(('INCRM FIXED TRANSPORT'!$B17+'VARIABLE TRANSPORT'!$B17+'FIXED STORAGE'!$B17+'VARIABLE STORAGE'!$B17+'COMMODITY COST'!D16+'CARBON TAX'!$B18+('DISTRIBUTION SYSTEM'!D17*((1+$S$6)^($B15-$A$2)))+'RISK PREMIUM'!$B18)*'ENVIRONMENTAL ADDER'!$B17)/10</f>
        <v>1.8672584420727305</v>
      </c>
      <c r="F15" s="91">
        <f>(('INCRM FIXED TRANSPORT'!$B17+'VARIABLE TRANSPORT'!$B17+'FIXED STORAGE'!$B17+'VARIABLE STORAGE'!$B17+'COMMODITY COST'!E16+'CARBON TAX'!$B18+('DISTRIBUTION SYSTEM'!E17*((1+$S$6)^($B15-$A$2)))+'RISK PREMIUM'!$B18)*'ENVIRONMENTAL ADDER'!$B17)/10</f>
        <v>1.8672584420727305</v>
      </c>
      <c r="G15" s="91">
        <f>(('INCRM FIXED TRANSPORT'!$B17+'VARIABLE TRANSPORT'!$B17+'FIXED STORAGE'!$B17+'VARIABLE STORAGE'!$B17+'COMMODITY COST'!F16+'CARBON TAX'!$B18+('DISTRIBUTION SYSTEM'!F17*((1+$S$6)^($B15-$A$2)))+'RISK PREMIUM'!$B18)*'ENVIRONMENTAL ADDER'!$B17)/10</f>
        <v>1.8672584420727305</v>
      </c>
      <c r="H15" s="91">
        <f>(('INCRM FIXED TRANSPORT'!$B17+'VARIABLE TRANSPORT'!$B17+'FIXED STORAGE'!$B17+'VARIABLE STORAGE'!$B17+'COMMODITY COST'!G16+'CARBON TAX'!$B18+('DISTRIBUTION SYSTEM'!G17*((1+$S$6)^($B15-$A$2)))+'RISK PREMIUM'!$B18)*'ENVIRONMENTAL ADDER'!$B17)/10</f>
        <v>1.8672584420727305</v>
      </c>
      <c r="I15" s="91">
        <f>(('INCRM FIXED TRANSPORT'!$B17+'VARIABLE TRANSPORT'!$B17+'FIXED STORAGE'!$B17+'VARIABLE STORAGE'!$B17+'COMMODITY COST'!H16+'CARBON TAX'!$B18+('DISTRIBUTION SYSTEM'!H17*((1+$S$6)^($B15-$A$2)))+'RISK PREMIUM'!$B18)*'ENVIRONMENTAL ADDER'!$B17)/10</f>
        <v>1.8672584420727305</v>
      </c>
      <c r="K15" s="90">
        <f t="shared" si="7"/>
        <v>2037</v>
      </c>
      <c r="L15" s="91">
        <f t="shared" si="0"/>
        <v>0.91856742212032982</v>
      </c>
      <c r="M15" s="91">
        <f t="shared" si="1"/>
        <v>0.91856742212032982</v>
      </c>
      <c r="N15" s="91">
        <f t="shared" si="2"/>
        <v>0.91856742212032982</v>
      </c>
      <c r="O15" s="91">
        <f t="shared" si="3"/>
        <v>0.91856742212032982</v>
      </c>
      <c r="P15" s="91">
        <f t="shared" si="4"/>
        <v>0.91856742212032982</v>
      </c>
      <c r="Q15" s="91">
        <f t="shared" si="5"/>
        <v>0.91856742212032982</v>
      </c>
      <c r="R15" s="91">
        <f t="shared" si="6"/>
        <v>0.91856742212032982</v>
      </c>
    </row>
    <row r="16" spans="1:23" x14ac:dyDescent="0.25">
      <c r="B16" s="90">
        <f t="shared" si="8"/>
        <v>2038</v>
      </c>
      <c r="C16" s="91">
        <f>(('INCRM FIXED TRANSPORT'!$B18+'VARIABLE TRANSPORT'!$B18+'FIXED STORAGE'!$B18+'VARIABLE STORAGE'!$B18+'COMMODITY COST'!B17+'CARBON TAX'!$B19+('DISTRIBUTION SYSTEM'!B18*((1+$S$6)^($B16-$A$2)))+'RISK PREMIUM'!$B19)*'ENVIRONMENTAL ADDER'!$B18)/10</f>
        <v>1.9355139901621996</v>
      </c>
      <c r="D16" s="91">
        <f>(('INCRM FIXED TRANSPORT'!$B18+'VARIABLE TRANSPORT'!$B18+'FIXED STORAGE'!$B18+'VARIABLE STORAGE'!$B18+'COMMODITY COST'!C17+'CARBON TAX'!$B19+('DISTRIBUTION SYSTEM'!C18*((1+$S$6)^($B16-$A$2)))+'RISK PREMIUM'!$B19)*'ENVIRONMENTAL ADDER'!$B18)/10</f>
        <v>1.9355139901621996</v>
      </c>
      <c r="E16" s="91">
        <f>(('INCRM FIXED TRANSPORT'!$B18+'VARIABLE TRANSPORT'!$B18+'FIXED STORAGE'!$B18+'VARIABLE STORAGE'!$B18+'COMMODITY COST'!D17+'CARBON TAX'!$B19+('DISTRIBUTION SYSTEM'!D18*((1+$S$6)^($B16-$A$2)))+'RISK PREMIUM'!$B19)*'ENVIRONMENTAL ADDER'!$B18)/10</f>
        <v>1.9355139901621996</v>
      </c>
      <c r="F16" s="91">
        <f>(('INCRM FIXED TRANSPORT'!$B18+'VARIABLE TRANSPORT'!$B18+'FIXED STORAGE'!$B18+'VARIABLE STORAGE'!$B18+'COMMODITY COST'!E17+'CARBON TAX'!$B19+('DISTRIBUTION SYSTEM'!E18*((1+$S$6)^($B16-$A$2)))+'RISK PREMIUM'!$B19)*'ENVIRONMENTAL ADDER'!$B18)/10</f>
        <v>1.9355139901621996</v>
      </c>
      <c r="G16" s="91">
        <f>(('INCRM FIXED TRANSPORT'!$B18+'VARIABLE TRANSPORT'!$B18+'FIXED STORAGE'!$B18+'VARIABLE STORAGE'!$B18+'COMMODITY COST'!F17+'CARBON TAX'!$B19+('DISTRIBUTION SYSTEM'!F18*((1+$S$6)^($B16-$A$2)))+'RISK PREMIUM'!$B19)*'ENVIRONMENTAL ADDER'!$B18)/10</f>
        <v>1.9355139901621996</v>
      </c>
      <c r="H16" s="91">
        <f>(('INCRM FIXED TRANSPORT'!$B18+'VARIABLE TRANSPORT'!$B18+'FIXED STORAGE'!$B18+'VARIABLE STORAGE'!$B18+'COMMODITY COST'!G17+'CARBON TAX'!$B19+('DISTRIBUTION SYSTEM'!G18*((1+$S$6)^($B16-$A$2)))+'RISK PREMIUM'!$B19)*'ENVIRONMENTAL ADDER'!$B18)/10</f>
        <v>1.9355139901621996</v>
      </c>
      <c r="I16" s="91">
        <f>(('INCRM FIXED TRANSPORT'!$B18+'VARIABLE TRANSPORT'!$B18+'FIXED STORAGE'!$B18+'VARIABLE STORAGE'!$B18+'COMMODITY COST'!H17+'CARBON TAX'!$B19+('DISTRIBUTION SYSTEM'!H18*((1+$S$6)^($B16-$A$2)))+'RISK PREMIUM'!$B19)*'ENVIRONMENTAL ADDER'!$B18)/10</f>
        <v>1.9355139901621996</v>
      </c>
      <c r="K16" s="90">
        <f t="shared" si="7"/>
        <v>2038</v>
      </c>
      <c r="L16" s="91">
        <f t="shared" si="0"/>
        <v>0.89748763212167337</v>
      </c>
      <c r="M16" s="91">
        <f t="shared" si="1"/>
        <v>0.89748763212167337</v>
      </c>
      <c r="N16" s="91">
        <f t="shared" si="2"/>
        <v>0.89748763212167337</v>
      </c>
      <c r="O16" s="91">
        <f t="shared" si="3"/>
        <v>0.89748763212167337</v>
      </c>
      <c r="P16" s="91">
        <f t="shared" si="4"/>
        <v>0.89748763212167337</v>
      </c>
      <c r="Q16" s="91">
        <f t="shared" si="5"/>
        <v>0.89748763212167337</v>
      </c>
      <c r="R16" s="91">
        <f t="shared" si="6"/>
        <v>0.89748763212167337</v>
      </c>
    </row>
    <row r="17" spans="2:18" x14ac:dyDescent="0.25">
      <c r="B17" s="90">
        <f t="shared" si="8"/>
        <v>2039</v>
      </c>
      <c r="C17" s="91">
        <f>(('INCRM FIXED TRANSPORT'!$B19+'VARIABLE TRANSPORT'!$B19+'FIXED STORAGE'!$B19+'VARIABLE STORAGE'!$B19+'COMMODITY COST'!B18+'CARBON TAX'!$B20+('DISTRIBUTION SYSTEM'!B19*((1+$S$6)^($B17-$A$2)))+'RISK PREMIUM'!$B20)*'ENVIRONMENTAL ADDER'!$B19)/10</f>
        <v>2.0192403397506142</v>
      </c>
      <c r="D17" s="91">
        <f>(('INCRM FIXED TRANSPORT'!$B19+'VARIABLE TRANSPORT'!$B19+'FIXED STORAGE'!$B19+'VARIABLE STORAGE'!$B19+'COMMODITY COST'!C18+'CARBON TAX'!$B20+('DISTRIBUTION SYSTEM'!C19*((1+$S$6)^($B17-$A$2)))+'RISK PREMIUM'!$B20)*'ENVIRONMENTAL ADDER'!$B19)/10</f>
        <v>2.0192403397506142</v>
      </c>
      <c r="E17" s="91">
        <f>(('INCRM FIXED TRANSPORT'!$B19+'VARIABLE TRANSPORT'!$B19+'FIXED STORAGE'!$B19+'VARIABLE STORAGE'!$B19+'COMMODITY COST'!D18+'CARBON TAX'!$B20+('DISTRIBUTION SYSTEM'!D19*((1+$S$6)^($B17-$A$2)))+'RISK PREMIUM'!$B20)*'ENVIRONMENTAL ADDER'!$B19)/10</f>
        <v>2.0192403397506142</v>
      </c>
      <c r="F17" s="91">
        <f>(('INCRM FIXED TRANSPORT'!$B19+'VARIABLE TRANSPORT'!$B19+'FIXED STORAGE'!$B19+'VARIABLE STORAGE'!$B19+'COMMODITY COST'!E18+'CARBON TAX'!$B20+('DISTRIBUTION SYSTEM'!E19*((1+$S$6)^($B17-$A$2)))+'RISK PREMIUM'!$B20)*'ENVIRONMENTAL ADDER'!$B19)/10</f>
        <v>2.0192403397506142</v>
      </c>
      <c r="G17" s="91">
        <f>(('INCRM FIXED TRANSPORT'!$B19+'VARIABLE TRANSPORT'!$B19+'FIXED STORAGE'!$B19+'VARIABLE STORAGE'!$B19+'COMMODITY COST'!F18+'CARBON TAX'!$B20+('DISTRIBUTION SYSTEM'!F19*((1+$S$6)^($B17-$A$2)))+'RISK PREMIUM'!$B20)*'ENVIRONMENTAL ADDER'!$B19)/10</f>
        <v>2.0192403397506142</v>
      </c>
      <c r="H17" s="91">
        <f>(('INCRM FIXED TRANSPORT'!$B19+'VARIABLE TRANSPORT'!$B19+'FIXED STORAGE'!$B19+'VARIABLE STORAGE'!$B19+'COMMODITY COST'!G18+'CARBON TAX'!$B20+('DISTRIBUTION SYSTEM'!G19*((1+$S$6)^($B17-$A$2)))+'RISK PREMIUM'!$B20)*'ENVIRONMENTAL ADDER'!$B19)/10</f>
        <v>2.0192403397506142</v>
      </c>
      <c r="I17" s="91">
        <f>(('INCRM FIXED TRANSPORT'!$B19+'VARIABLE TRANSPORT'!$B19+'FIXED STORAGE'!$B19+'VARIABLE STORAGE'!$B19+'COMMODITY COST'!H18+'CARBON TAX'!$B20+('DISTRIBUTION SYSTEM'!H19*((1+$S$6)^($B17-$A$2)))+'RISK PREMIUM'!$B20)*'ENVIRONMENTAL ADDER'!$B19)/10</f>
        <v>2.0192403397506142</v>
      </c>
      <c r="K17" s="90">
        <f t="shared" si="7"/>
        <v>2039</v>
      </c>
      <c r="L17" s="91">
        <f t="shared" si="0"/>
        <v>0.88256301156894557</v>
      </c>
      <c r="M17" s="91">
        <f t="shared" si="1"/>
        <v>0.88256301156894557</v>
      </c>
      <c r="N17" s="91">
        <f t="shared" si="2"/>
        <v>0.88256301156894557</v>
      </c>
      <c r="O17" s="91">
        <f t="shared" si="3"/>
        <v>0.88256301156894557</v>
      </c>
      <c r="P17" s="91">
        <f t="shared" si="4"/>
        <v>0.88256301156894557</v>
      </c>
      <c r="Q17" s="91">
        <f t="shared" si="5"/>
        <v>0.88256301156894557</v>
      </c>
      <c r="R17" s="91">
        <f t="shared" si="6"/>
        <v>0.88256301156894557</v>
      </c>
    </row>
    <row r="18" spans="2:18" x14ac:dyDescent="0.25">
      <c r="B18" s="90">
        <f t="shared" si="8"/>
        <v>2040</v>
      </c>
      <c r="C18" s="91">
        <f>(('INCRM FIXED TRANSPORT'!$B20+'VARIABLE TRANSPORT'!$B20+'FIXED STORAGE'!$B20+'VARIABLE STORAGE'!$B20+'COMMODITY COST'!B19+'CARBON TAX'!$B21+('DISTRIBUTION SYSTEM'!B20*((1+$S$6)^($B18-$A$2)))+'RISK PREMIUM'!$B21)*'ENVIRONMENTAL ADDER'!$B20)/10</f>
        <v>2.0673043836336356</v>
      </c>
      <c r="D18" s="91">
        <f>(('INCRM FIXED TRANSPORT'!$B20+'VARIABLE TRANSPORT'!$B20+'FIXED STORAGE'!$B20+'VARIABLE STORAGE'!$B20+'COMMODITY COST'!C19+'CARBON TAX'!$B21+('DISTRIBUTION SYSTEM'!C20*((1+$S$6)^($B18-$A$2)))+'RISK PREMIUM'!$B21)*'ENVIRONMENTAL ADDER'!$B20)/10</f>
        <v>2.0673043836336356</v>
      </c>
      <c r="E18" s="91">
        <f>(('INCRM FIXED TRANSPORT'!$B20+'VARIABLE TRANSPORT'!$B20+'FIXED STORAGE'!$B20+'VARIABLE STORAGE'!$B20+'COMMODITY COST'!D19+'CARBON TAX'!$B21+('DISTRIBUTION SYSTEM'!D20*((1+$S$6)^($B18-$A$2)))+'RISK PREMIUM'!$B21)*'ENVIRONMENTAL ADDER'!$B20)/10</f>
        <v>2.0673043836336356</v>
      </c>
      <c r="F18" s="91">
        <f>(('INCRM FIXED TRANSPORT'!$B20+'VARIABLE TRANSPORT'!$B20+'FIXED STORAGE'!$B20+'VARIABLE STORAGE'!$B20+'COMMODITY COST'!E19+'CARBON TAX'!$B21+('DISTRIBUTION SYSTEM'!E20*((1+$S$6)^($B18-$A$2)))+'RISK PREMIUM'!$B21)*'ENVIRONMENTAL ADDER'!$B20)/10</f>
        <v>2.0673043836336356</v>
      </c>
      <c r="G18" s="91">
        <f>(('INCRM FIXED TRANSPORT'!$B20+'VARIABLE TRANSPORT'!$B20+'FIXED STORAGE'!$B20+'VARIABLE STORAGE'!$B20+'COMMODITY COST'!F19+'CARBON TAX'!$B21+('DISTRIBUTION SYSTEM'!F20*((1+$S$6)^($B18-$A$2)))+'RISK PREMIUM'!$B21)*'ENVIRONMENTAL ADDER'!$B20)/10</f>
        <v>2.0673043836336356</v>
      </c>
      <c r="H18" s="91">
        <f>(('INCRM FIXED TRANSPORT'!$B20+'VARIABLE TRANSPORT'!$B20+'FIXED STORAGE'!$B20+'VARIABLE STORAGE'!$B20+'COMMODITY COST'!G19+'CARBON TAX'!$B21+('DISTRIBUTION SYSTEM'!G20*((1+$S$6)^($B18-$A$2)))+'RISK PREMIUM'!$B21)*'ENVIRONMENTAL ADDER'!$B20)/10</f>
        <v>2.0673043836336356</v>
      </c>
      <c r="I18" s="91">
        <f>(('INCRM FIXED TRANSPORT'!$B20+'VARIABLE TRANSPORT'!$B20+'FIXED STORAGE'!$B20+'VARIABLE STORAGE'!$B20+'COMMODITY COST'!H19+'CARBON TAX'!$B21+('DISTRIBUTION SYSTEM'!H20*((1+$S$6)^($B18-$A$2)))+'RISK PREMIUM'!$B21)*'ENVIRONMENTAL ADDER'!$B20)/10</f>
        <v>2.0673043836336356</v>
      </c>
      <c r="K18" s="90">
        <f t="shared" si="7"/>
        <v>2040</v>
      </c>
      <c r="L18" s="91">
        <f t="shared" si="0"/>
        <v>0.85170203394625077</v>
      </c>
      <c r="M18" s="91">
        <f t="shared" si="1"/>
        <v>0.85170203394625077</v>
      </c>
      <c r="N18" s="91">
        <f t="shared" si="2"/>
        <v>0.85170203394625077</v>
      </c>
      <c r="O18" s="91">
        <f t="shared" si="3"/>
        <v>0.85170203394625077</v>
      </c>
      <c r="P18" s="91">
        <f t="shared" si="4"/>
        <v>0.85170203394625077</v>
      </c>
      <c r="Q18" s="91">
        <f t="shared" si="5"/>
        <v>0.85170203394625077</v>
      </c>
      <c r="R18" s="91">
        <f t="shared" si="6"/>
        <v>0.85170203394625077</v>
      </c>
    </row>
    <row r="19" spans="2:18" x14ac:dyDescent="0.25">
      <c r="B19" s="90">
        <f t="shared" si="8"/>
        <v>2041</v>
      </c>
      <c r="C19" s="91">
        <f>(('INCRM FIXED TRANSPORT'!$B21+'VARIABLE TRANSPORT'!$B21+'FIXED STORAGE'!$B21+'VARIABLE STORAGE'!$B21+'COMMODITY COST'!B20+'CARBON TAX'!$B22+('DISTRIBUTION SYSTEM'!B21*((1+$S$6)^($B19-$A$2)))+'RISK PREMIUM'!$B22)*'ENVIRONMENTAL ADDER'!$B21)/10</f>
        <v>2.0615947967010788</v>
      </c>
      <c r="D19" s="91">
        <f>(('INCRM FIXED TRANSPORT'!$B21+'VARIABLE TRANSPORT'!$B21+'FIXED STORAGE'!$B21+'VARIABLE STORAGE'!$B21+'COMMODITY COST'!C20+'CARBON TAX'!$B22+('DISTRIBUTION SYSTEM'!C21*((1+$S$6)^($B19-$A$2)))+'RISK PREMIUM'!$B22)*'ENVIRONMENTAL ADDER'!$B21)/10</f>
        <v>2.0615947967010788</v>
      </c>
      <c r="E19" s="91">
        <f>(('INCRM FIXED TRANSPORT'!$B21+'VARIABLE TRANSPORT'!$B21+'FIXED STORAGE'!$B21+'VARIABLE STORAGE'!$B21+'COMMODITY COST'!D20+'CARBON TAX'!$B22+('DISTRIBUTION SYSTEM'!D21*((1+$S$6)^($B19-$A$2)))+'RISK PREMIUM'!$B22)*'ENVIRONMENTAL ADDER'!$B21)/10</f>
        <v>2.0615947967010788</v>
      </c>
      <c r="F19" s="91">
        <f>(('INCRM FIXED TRANSPORT'!$B21+'VARIABLE TRANSPORT'!$B21+'FIXED STORAGE'!$B21+'VARIABLE STORAGE'!$B21+'COMMODITY COST'!E20+'CARBON TAX'!$B22+('DISTRIBUTION SYSTEM'!E21*((1+$S$6)^($B19-$A$2)))+'RISK PREMIUM'!$B22)*'ENVIRONMENTAL ADDER'!$B21)/10</f>
        <v>2.0615947967010788</v>
      </c>
      <c r="G19" s="91">
        <f>(('INCRM FIXED TRANSPORT'!$B21+'VARIABLE TRANSPORT'!$B21+'FIXED STORAGE'!$B21+'VARIABLE STORAGE'!$B21+'COMMODITY COST'!F20+'CARBON TAX'!$B22+('DISTRIBUTION SYSTEM'!F21*((1+$S$6)^($B19-$A$2)))+'RISK PREMIUM'!$B22)*'ENVIRONMENTAL ADDER'!$B21)/10</f>
        <v>2.0615947967010788</v>
      </c>
      <c r="H19" s="91">
        <f>(('INCRM FIXED TRANSPORT'!$B21+'VARIABLE TRANSPORT'!$B21+'FIXED STORAGE'!$B21+'VARIABLE STORAGE'!$B21+'COMMODITY COST'!G20+'CARBON TAX'!$B22+('DISTRIBUTION SYSTEM'!G21*((1+$S$6)^($B19-$A$2)))+'RISK PREMIUM'!$B22)*'ENVIRONMENTAL ADDER'!$B21)/10</f>
        <v>2.0615947967010788</v>
      </c>
      <c r="I19" s="91">
        <f>(('INCRM FIXED TRANSPORT'!$B21+'VARIABLE TRANSPORT'!$B21+'FIXED STORAGE'!$B21+'VARIABLE STORAGE'!$B21+'COMMODITY COST'!H20+'CARBON TAX'!$B22+('DISTRIBUTION SYSTEM'!H21*((1+$S$6)^($B19-$A$2)))+'RISK PREMIUM'!$B22)*'ENVIRONMENTAL ADDER'!$B21)/10</f>
        <v>2.0615947967010788</v>
      </c>
      <c r="K19" s="90">
        <f t="shared" si="7"/>
        <v>2041</v>
      </c>
      <c r="L19" s="91">
        <f t="shared" si="0"/>
        <v>0.80059360894309772</v>
      </c>
      <c r="M19" s="91">
        <f t="shared" si="1"/>
        <v>0.80059360894309772</v>
      </c>
      <c r="N19" s="91">
        <f t="shared" si="2"/>
        <v>0.80059360894309772</v>
      </c>
      <c r="O19" s="91">
        <f t="shared" si="3"/>
        <v>0.80059360894309772</v>
      </c>
      <c r="P19" s="91">
        <f t="shared" si="4"/>
        <v>0.80059360894309772</v>
      </c>
      <c r="Q19" s="91">
        <f t="shared" si="5"/>
        <v>0.80059360894309772</v>
      </c>
      <c r="R19" s="91">
        <f t="shared" si="6"/>
        <v>0.80059360894309772</v>
      </c>
    </row>
    <row r="20" spans="2:18" x14ac:dyDescent="0.25">
      <c r="B20" s="90">
        <f t="shared" si="8"/>
        <v>2042</v>
      </c>
      <c r="C20" s="91">
        <f>(('INCRM FIXED TRANSPORT'!$B22+'VARIABLE TRANSPORT'!$B22+'FIXED STORAGE'!$B22+'VARIABLE STORAGE'!$B22+'COMMODITY COST'!B21+'CARBON TAX'!$B23+('DISTRIBUTION SYSTEM'!B22*((1+$S$6)^($B20-$A$2)))+'RISK PREMIUM'!$B23)*'ENVIRONMENTAL ADDER'!$B22)/10</f>
        <v>1.9752705586947861</v>
      </c>
      <c r="D20" s="91">
        <f>(('INCRM FIXED TRANSPORT'!$B22+'VARIABLE TRANSPORT'!$B22+'FIXED STORAGE'!$B22+'VARIABLE STORAGE'!$B22+'COMMODITY COST'!C21+'CARBON TAX'!$B23+('DISTRIBUTION SYSTEM'!C22*((1+$S$6)^($B20-$A$2)))+'RISK PREMIUM'!$B23)*'ENVIRONMENTAL ADDER'!$B22)/10</f>
        <v>1.9752705586947861</v>
      </c>
      <c r="E20" s="91">
        <f>(('INCRM FIXED TRANSPORT'!$B22+'VARIABLE TRANSPORT'!$B22+'FIXED STORAGE'!$B22+'VARIABLE STORAGE'!$B22+'COMMODITY COST'!D21+'CARBON TAX'!$B23+('DISTRIBUTION SYSTEM'!D22*((1+$S$6)^($B20-$A$2)))+'RISK PREMIUM'!$B23)*'ENVIRONMENTAL ADDER'!$B22)/10</f>
        <v>1.9752705586947861</v>
      </c>
      <c r="F20" s="91">
        <f>(('INCRM FIXED TRANSPORT'!$B22+'VARIABLE TRANSPORT'!$B22+'FIXED STORAGE'!$B22+'VARIABLE STORAGE'!$B22+'COMMODITY COST'!E21+'CARBON TAX'!$B23+('DISTRIBUTION SYSTEM'!E22*((1+$S$6)^($B20-$A$2)))+'RISK PREMIUM'!$B23)*'ENVIRONMENTAL ADDER'!$B22)/10</f>
        <v>1.9752705586947861</v>
      </c>
      <c r="G20" s="91">
        <f>(('INCRM FIXED TRANSPORT'!$B22+'VARIABLE TRANSPORT'!$B22+'FIXED STORAGE'!$B22+'VARIABLE STORAGE'!$B22+'COMMODITY COST'!F21+'CARBON TAX'!$B23+('DISTRIBUTION SYSTEM'!F22*((1+$S$6)^($B20-$A$2)))+'RISK PREMIUM'!$B23)*'ENVIRONMENTAL ADDER'!$B22)/10</f>
        <v>1.9752705586947861</v>
      </c>
      <c r="H20" s="91">
        <f>(('INCRM FIXED TRANSPORT'!$B22+'VARIABLE TRANSPORT'!$B22+'FIXED STORAGE'!$B22+'VARIABLE STORAGE'!$B22+'COMMODITY COST'!G21+'CARBON TAX'!$B23+('DISTRIBUTION SYSTEM'!G22*((1+$S$6)^($B20-$A$2)))+'RISK PREMIUM'!$B23)*'ENVIRONMENTAL ADDER'!$B22)/10</f>
        <v>1.9752705586947861</v>
      </c>
      <c r="I20" s="91">
        <f>(('INCRM FIXED TRANSPORT'!$B22+'VARIABLE TRANSPORT'!$B22+'FIXED STORAGE'!$B22+'VARIABLE STORAGE'!$B22+'COMMODITY COST'!H21+'CARBON TAX'!$B23+('DISTRIBUTION SYSTEM'!H22*((1+$S$6)^($B20-$A$2)))+'RISK PREMIUM'!$B23)*'ENVIRONMENTAL ADDER'!$B22)/10</f>
        <v>1.9752705586947861</v>
      </c>
      <c r="K20" s="90">
        <f t="shared" si="7"/>
        <v>2042</v>
      </c>
      <c r="L20" s="91">
        <f t="shared" si="0"/>
        <v>0.72303771362201952</v>
      </c>
      <c r="M20" s="91">
        <f t="shared" si="1"/>
        <v>0.72303771362201952</v>
      </c>
      <c r="N20" s="91">
        <f t="shared" si="2"/>
        <v>0.72303771362201952</v>
      </c>
      <c r="O20" s="91">
        <f t="shared" si="3"/>
        <v>0.72303771362201952</v>
      </c>
      <c r="P20" s="91">
        <f t="shared" si="4"/>
        <v>0.72303771362201952</v>
      </c>
      <c r="Q20" s="91">
        <f t="shared" si="5"/>
        <v>0.72303771362201952</v>
      </c>
      <c r="R20" s="91">
        <f t="shared" si="6"/>
        <v>0.72303771362201952</v>
      </c>
    </row>
    <row r="21" spans="2:18" x14ac:dyDescent="0.25">
      <c r="B21" s="90">
        <f t="shared" si="8"/>
        <v>2043</v>
      </c>
      <c r="C21" s="91">
        <f>(('INCRM FIXED TRANSPORT'!$B23+'VARIABLE TRANSPORT'!$B23+'FIXED STORAGE'!$B23+'VARIABLE STORAGE'!$B23+'COMMODITY COST'!B22+'CARBON TAX'!$B24+('DISTRIBUTION SYSTEM'!B23*((1+$S$6)^($B21-$A$2)))+'RISK PREMIUM'!$B24)*'ENVIRONMENTAL ADDER'!$B23)/10</f>
        <v>2.0330331888339068</v>
      </c>
      <c r="D21" s="91">
        <f>(('INCRM FIXED TRANSPORT'!$B23+'VARIABLE TRANSPORT'!$B23+'FIXED STORAGE'!$B23+'VARIABLE STORAGE'!$B23+'COMMODITY COST'!C22+'CARBON TAX'!$B24+('DISTRIBUTION SYSTEM'!C23*((1+$S$6)^($B21-$A$2)))+'RISK PREMIUM'!$B24)*'ENVIRONMENTAL ADDER'!$B23)/10</f>
        <v>2.0330331888339068</v>
      </c>
      <c r="E21" s="91">
        <f>(('INCRM FIXED TRANSPORT'!$B23+'VARIABLE TRANSPORT'!$B23+'FIXED STORAGE'!$B23+'VARIABLE STORAGE'!$B23+'COMMODITY COST'!D22+'CARBON TAX'!$B24+('DISTRIBUTION SYSTEM'!D23*((1+$S$6)^($B21-$A$2)))+'RISK PREMIUM'!$B24)*'ENVIRONMENTAL ADDER'!$B23)/10</f>
        <v>2.0330331888339068</v>
      </c>
      <c r="F21" s="91">
        <f>(('INCRM FIXED TRANSPORT'!$B23+'VARIABLE TRANSPORT'!$B23+'FIXED STORAGE'!$B23+'VARIABLE STORAGE'!$B23+'COMMODITY COST'!E22+'CARBON TAX'!$B24+('DISTRIBUTION SYSTEM'!E23*((1+$S$6)^($B21-$A$2)))+'RISK PREMIUM'!$B24)*'ENVIRONMENTAL ADDER'!$B23)/10</f>
        <v>2.0330331888339068</v>
      </c>
      <c r="G21" s="91">
        <f>(('INCRM FIXED TRANSPORT'!$B23+'VARIABLE TRANSPORT'!$B23+'FIXED STORAGE'!$B23+'VARIABLE STORAGE'!$B23+'COMMODITY COST'!F22+'CARBON TAX'!$B24+('DISTRIBUTION SYSTEM'!F23*((1+$S$6)^($B21-$A$2)))+'RISK PREMIUM'!$B24)*'ENVIRONMENTAL ADDER'!$B23)/10</f>
        <v>2.0330331888339068</v>
      </c>
      <c r="H21" s="91">
        <f>(('INCRM FIXED TRANSPORT'!$B23+'VARIABLE TRANSPORT'!$B23+'FIXED STORAGE'!$B23+'VARIABLE STORAGE'!$B23+'COMMODITY COST'!G22+'CARBON TAX'!$B24+('DISTRIBUTION SYSTEM'!G23*((1+$S$6)^($B21-$A$2)))+'RISK PREMIUM'!$B24)*'ENVIRONMENTAL ADDER'!$B23)/10</f>
        <v>2.0330331888339068</v>
      </c>
      <c r="I21" s="91">
        <f>(('INCRM FIXED TRANSPORT'!$B23+'VARIABLE TRANSPORT'!$B23+'FIXED STORAGE'!$B23+'VARIABLE STORAGE'!$B23+'COMMODITY COST'!H22+'CARBON TAX'!$B24+('DISTRIBUTION SYSTEM'!H23*((1+$S$6)^($B21-$A$2)))+'RISK PREMIUM'!$B24)*'ENVIRONMENTAL ADDER'!$B23)/10</f>
        <v>2.0330331888339068</v>
      </c>
      <c r="K21" s="90">
        <f t="shared" si="7"/>
        <v>2043</v>
      </c>
      <c r="L21" s="91">
        <f t="shared" si="0"/>
        <v>0.70146237136409184</v>
      </c>
      <c r="M21" s="91">
        <f t="shared" si="1"/>
        <v>0.70146237136409184</v>
      </c>
      <c r="N21" s="91">
        <f t="shared" si="2"/>
        <v>0.70146237136409184</v>
      </c>
      <c r="O21" s="91">
        <f t="shared" si="3"/>
        <v>0.70146237136409184</v>
      </c>
      <c r="P21" s="91">
        <f t="shared" si="4"/>
        <v>0.70146237136409184</v>
      </c>
      <c r="Q21" s="91">
        <f t="shared" si="5"/>
        <v>0.70146237136409184</v>
      </c>
      <c r="R21" s="91">
        <f t="shared" si="6"/>
        <v>0.70146237136409184</v>
      </c>
    </row>
    <row r="22" spans="2:18" x14ac:dyDescent="0.25">
      <c r="B22" s="90">
        <f t="shared" si="8"/>
        <v>2044</v>
      </c>
      <c r="C22" s="91">
        <f>(('INCRM FIXED TRANSPORT'!$B24+'VARIABLE TRANSPORT'!$B24+'FIXED STORAGE'!$B24+'VARIABLE STORAGE'!$B24+'COMMODITY COST'!B23+'CARBON TAX'!$B25+('DISTRIBUTION SYSTEM'!B24*((1+$S$6)^($B22-$A$2)))+'RISK PREMIUM'!$B25)*'ENVIRONMENTAL ADDER'!$B24)/10</f>
        <v>2.1201181689218997</v>
      </c>
      <c r="D22" s="91">
        <f>(('INCRM FIXED TRANSPORT'!$B24+'VARIABLE TRANSPORT'!$B24+'FIXED STORAGE'!$B24+'VARIABLE STORAGE'!$B24+'COMMODITY COST'!C23+'CARBON TAX'!$B25+('DISTRIBUTION SYSTEM'!C24*((1+$S$6)^($B22-$A$2)))+'RISK PREMIUM'!$B25)*'ENVIRONMENTAL ADDER'!$B24)/10</f>
        <v>2.1201181689218997</v>
      </c>
      <c r="E22" s="91">
        <f>(('INCRM FIXED TRANSPORT'!$B24+'VARIABLE TRANSPORT'!$B24+'FIXED STORAGE'!$B24+'VARIABLE STORAGE'!$B24+'COMMODITY COST'!D23+'CARBON TAX'!$B25+('DISTRIBUTION SYSTEM'!D24*((1+$S$6)^($B22-$A$2)))+'RISK PREMIUM'!$B25)*'ENVIRONMENTAL ADDER'!$B24)/10</f>
        <v>2.1201181689218997</v>
      </c>
      <c r="F22" s="91">
        <f>(('INCRM FIXED TRANSPORT'!$B24+'VARIABLE TRANSPORT'!$B24+'FIXED STORAGE'!$B24+'VARIABLE STORAGE'!$B24+'COMMODITY COST'!E23+'CARBON TAX'!$B25+('DISTRIBUTION SYSTEM'!E24*((1+$S$6)^($B22-$A$2)))+'RISK PREMIUM'!$B25)*'ENVIRONMENTAL ADDER'!$B24)/10</f>
        <v>2.1201181689218997</v>
      </c>
      <c r="G22" s="91">
        <f>(('INCRM FIXED TRANSPORT'!$B24+'VARIABLE TRANSPORT'!$B24+'FIXED STORAGE'!$B24+'VARIABLE STORAGE'!$B24+'COMMODITY COST'!F23+'CARBON TAX'!$B25+('DISTRIBUTION SYSTEM'!F24*((1+$S$6)^($B22-$A$2)))+'RISK PREMIUM'!$B25)*'ENVIRONMENTAL ADDER'!$B24)/10</f>
        <v>2.1201181689218997</v>
      </c>
      <c r="H22" s="91">
        <f>(('INCRM FIXED TRANSPORT'!$B24+'VARIABLE TRANSPORT'!$B24+'FIXED STORAGE'!$B24+'VARIABLE STORAGE'!$B24+'COMMODITY COST'!G23+'CARBON TAX'!$B25+('DISTRIBUTION SYSTEM'!G24*((1+$S$6)^($B22-$A$2)))+'RISK PREMIUM'!$B25)*'ENVIRONMENTAL ADDER'!$B24)/10</f>
        <v>2.1201181689218997</v>
      </c>
      <c r="I22" s="91">
        <f>(('INCRM FIXED TRANSPORT'!$B24+'VARIABLE TRANSPORT'!$B24+'FIXED STORAGE'!$B24+'VARIABLE STORAGE'!$B24+'COMMODITY COST'!H23+'CARBON TAX'!$B25+('DISTRIBUTION SYSTEM'!H24*((1+$S$6)^($B22-$A$2)))+'RISK PREMIUM'!$B25)*'ENVIRONMENTAL ADDER'!$B24)/10</f>
        <v>2.1201181689218997</v>
      </c>
      <c r="K22" s="90">
        <f t="shared" si="7"/>
        <v>2044</v>
      </c>
      <c r="L22" s="91">
        <f t="shared" si="0"/>
        <v>0.68951787466289516</v>
      </c>
      <c r="M22" s="91">
        <f t="shared" si="1"/>
        <v>0.68951787466289516</v>
      </c>
      <c r="N22" s="91">
        <f t="shared" si="2"/>
        <v>0.68951787466289516</v>
      </c>
      <c r="O22" s="91">
        <f t="shared" si="3"/>
        <v>0.68951787466289516</v>
      </c>
      <c r="P22" s="91">
        <f t="shared" si="4"/>
        <v>0.68951787466289516</v>
      </c>
      <c r="Q22" s="91">
        <f t="shared" si="5"/>
        <v>0.68951787466289516</v>
      </c>
      <c r="R22" s="91">
        <f t="shared" si="6"/>
        <v>0.68951787466289516</v>
      </c>
    </row>
    <row r="23" spans="2:18" x14ac:dyDescent="0.25">
      <c r="B23" s="90">
        <f t="shared" si="8"/>
        <v>2045</v>
      </c>
      <c r="C23" s="91">
        <f>C22*(INFLATION!$B6+1)</f>
        <v>2.1837447984810066</v>
      </c>
      <c r="D23" s="91">
        <f>D22*(INFLATION!$B6+1)</f>
        <v>2.1837447984810066</v>
      </c>
      <c r="E23" s="91">
        <f>E22*(INFLATION!$B6+1)</f>
        <v>2.1837447984810066</v>
      </c>
      <c r="F23" s="91">
        <f>F22*(INFLATION!$B6+1)</f>
        <v>2.1837447984810066</v>
      </c>
      <c r="G23" s="91">
        <f>G22*(INFLATION!$B6+1)</f>
        <v>2.1837447984810066</v>
      </c>
      <c r="H23" s="91">
        <f>H22*(INFLATION!$B6+1)</f>
        <v>2.1837447984810066</v>
      </c>
      <c r="I23" s="91">
        <f>I22*(INFLATION!$B6+1)</f>
        <v>2.1837447984810066</v>
      </c>
      <c r="K23" s="90">
        <f t="shared" si="7"/>
        <v>2045</v>
      </c>
      <c r="L23" s="91">
        <f t="shared" si="0"/>
        <v>0.66944190647857083</v>
      </c>
      <c r="M23" s="91">
        <f t="shared" si="1"/>
        <v>0.66944190647857083</v>
      </c>
      <c r="N23" s="91">
        <f t="shared" si="2"/>
        <v>0.66944190647857083</v>
      </c>
      <c r="O23" s="91">
        <f t="shared" si="3"/>
        <v>0.66944190647857083</v>
      </c>
      <c r="P23" s="91">
        <f t="shared" si="4"/>
        <v>0.66944190647857083</v>
      </c>
      <c r="Q23" s="91">
        <f t="shared" si="5"/>
        <v>0.66944190647857083</v>
      </c>
      <c r="R23" s="91">
        <f t="shared" si="6"/>
        <v>0.66944190647857083</v>
      </c>
    </row>
    <row r="24" spans="2:18" x14ac:dyDescent="0.25">
      <c r="B24" s="90">
        <f t="shared" si="8"/>
        <v>2046</v>
      </c>
      <c r="C24" s="91">
        <f>C23*(INFLATION!$B7+1)</f>
        <v>2.2491027648988648</v>
      </c>
      <c r="D24" s="91">
        <f>D23*(INFLATION!$B7+1)</f>
        <v>2.2491027648988648</v>
      </c>
      <c r="E24" s="91">
        <f>E23*(INFLATION!$B7+1)</f>
        <v>2.2491027648988648</v>
      </c>
      <c r="F24" s="91">
        <f>F23*(INFLATION!$B7+1)</f>
        <v>2.2491027648988648</v>
      </c>
      <c r="G24" s="91">
        <f>G23*(INFLATION!$B7+1)</f>
        <v>2.2491027648988648</v>
      </c>
      <c r="H24" s="91">
        <f>H23*(INFLATION!$B7+1)</f>
        <v>2.2491027648988648</v>
      </c>
      <c r="I24" s="91">
        <f>I23*(INFLATION!$B7+1)</f>
        <v>2.2491027648988648</v>
      </c>
      <c r="K24" s="90">
        <f t="shared" si="7"/>
        <v>2046</v>
      </c>
      <c r="L24" s="91">
        <f t="shared" si="0"/>
        <v>0.64989898970970872</v>
      </c>
      <c r="M24" s="91">
        <f t="shared" si="1"/>
        <v>0.64989898970970872</v>
      </c>
      <c r="N24" s="91">
        <f t="shared" si="2"/>
        <v>0.64989898970970872</v>
      </c>
      <c r="O24" s="91">
        <f t="shared" si="3"/>
        <v>0.64989898970970872</v>
      </c>
      <c r="P24" s="91">
        <f t="shared" si="4"/>
        <v>0.64989898970970872</v>
      </c>
      <c r="Q24" s="91">
        <f t="shared" si="5"/>
        <v>0.64989898970970872</v>
      </c>
      <c r="R24" s="91">
        <f t="shared" si="6"/>
        <v>0.64989898970970872</v>
      </c>
    </row>
    <row r="25" spans="2:18" x14ac:dyDescent="0.25">
      <c r="B25" s="90">
        <f t="shared" si="8"/>
        <v>2047</v>
      </c>
      <c r="C25" s="91">
        <f>C24*(INFLATION!$B8+1)</f>
        <v>2.3169455203269678</v>
      </c>
      <c r="D25" s="91">
        <f>D24*(INFLATION!$B8+1)</f>
        <v>2.3169455203269678</v>
      </c>
      <c r="E25" s="91">
        <f>E24*(INFLATION!$B8+1)</f>
        <v>2.3169455203269678</v>
      </c>
      <c r="F25" s="91">
        <f>F24*(INFLATION!$B8+1)</f>
        <v>2.3169455203269678</v>
      </c>
      <c r="G25" s="91">
        <f>G24*(INFLATION!$B8+1)</f>
        <v>2.3169455203269678</v>
      </c>
      <c r="H25" s="91">
        <f>H24*(INFLATION!$B8+1)</f>
        <v>2.3169455203269678</v>
      </c>
      <c r="I25" s="91">
        <f>I24*(INFLATION!$B8+1)</f>
        <v>2.3169455203269678</v>
      </c>
      <c r="K25" s="90">
        <f t="shared" si="7"/>
        <v>2047</v>
      </c>
      <c r="L25" s="91">
        <f t="shared" si="0"/>
        <v>0.63107058127466753</v>
      </c>
      <c r="M25" s="91">
        <f t="shared" si="1"/>
        <v>0.63107058127466753</v>
      </c>
      <c r="N25" s="91">
        <f t="shared" si="2"/>
        <v>0.63107058127466753</v>
      </c>
      <c r="O25" s="91">
        <f t="shared" si="3"/>
        <v>0.63107058127466753</v>
      </c>
      <c r="P25" s="91">
        <f t="shared" si="4"/>
        <v>0.63107058127466753</v>
      </c>
      <c r="Q25" s="91">
        <f t="shared" si="5"/>
        <v>0.63107058127466753</v>
      </c>
      <c r="R25" s="91">
        <f t="shared" si="6"/>
        <v>0.63107058127466753</v>
      </c>
    </row>
    <row r="26" spans="2:18" x14ac:dyDescent="0.25">
      <c r="B26" s="90">
        <f t="shared" si="8"/>
        <v>2048</v>
      </c>
      <c r="C26" s="91">
        <f>C25*(INFLATION!$B9+1)</f>
        <v>2.3879784242262887</v>
      </c>
      <c r="D26" s="91">
        <f>D25*(INFLATION!$B9+1)</f>
        <v>2.3879784242262887</v>
      </c>
      <c r="E26" s="91">
        <f>E25*(INFLATION!$B9+1)</f>
        <v>2.3879784242262887</v>
      </c>
      <c r="F26" s="91">
        <f>F25*(INFLATION!$B9+1)</f>
        <v>2.3879784242262887</v>
      </c>
      <c r="G26" s="91">
        <f>G25*(INFLATION!$B9+1)</f>
        <v>2.3879784242262887</v>
      </c>
      <c r="H26" s="91">
        <f>H25*(INFLATION!$B9+1)</f>
        <v>2.3879784242262887</v>
      </c>
      <c r="I26" s="91">
        <f>I25*(INFLATION!$B9+1)</f>
        <v>2.3879784242262887</v>
      </c>
      <c r="K26" s="90">
        <f t="shared" si="7"/>
        <v>2048</v>
      </c>
      <c r="L26" s="91">
        <f t="shared" si="0"/>
        <v>0.61308128939982764</v>
      </c>
      <c r="M26" s="91">
        <f t="shared" si="1"/>
        <v>0.61308128939982764</v>
      </c>
      <c r="N26" s="91">
        <f t="shared" si="2"/>
        <v>0.61308128939982764</v>
      </c>
      <c r="O26" s="91">
        <f t="shared" si="3"/>
        <v>0.61308128939982764</v>
      </c>
      <c r="P26" s="91">
        <f t="shared" si="4"/>
        <v>0.61308128939982764</v>
      </c>
      <c r="Q26" s="91">
        <f t="shared" si="5"/>
        <v>0.61308128939982764</v>
      </c>
      <c r="R26" s="91">
        <f t="shared" si="6"/>
        <v>0.61308128939982764</v>
      </c>
    </row>
    <row r="27" spans="2:18" x14ac:dyDescent="0.25">
      <c r="B27" s="90">
        <f t="shared" si="8"/>
        <v>2049</v>
      </c>
      <c r="C27" s="91">
        <f>C26*(INFLATION!$B10+1)</f>
        <v>2.4623617855652293</v>
      </c>
      <c r="D27" s="91">
        <f>D26*(INFLATION!$B10+1)</f>
        <v>2.4623617855652293</v>
      </c>
      <c r="E27" s="91">
        <f>E26*(INFLATION!$B10+1)</f>
        <v>2.4623617855652293</v>
      </c>
      <c r="F27" s="91">
        <f>F26*(INFLATION!$B10+1)</f>
        <v>2.4623617855652293</v>
      </c>
      <c r="G27" s="91">
        <f>G26*(INFLATION!$B10+1)</f>
        <v>2.4623617855652293</v>
      </c>
      <c r="H27" s="91">
        <f>H26*(INFLATION!$B10+1)</f>
        <v>2.4623617855652293</v>
      </c>
      <c r="I27" s="91">
        <f>I26*(INFLATION!$B10+1)</f>
        <v>2.4623617855652293</v>
      </c>
      <c r="K27" s="90">
        <f t="shared" si="7"/>
        <v>2049</v>
      </c>
      <c r="L27" s="91">
        <f t="shared" si="0"/>
        <v>0.59588859960930096</v>
      </c>
      <c r="M27" s="91">
        <f t="shared" si="1"/>
        <v>0.59588859960930096</v>
      </c>
      <c r="N27" s="91">
        <f t="shared" si="2"/>
        <v>0.59588859960930096</v>
      </c>
      <c r="O27" s="91">
        <f t="shared" si="3"/>
        <v>0.59588859960930096</v>
      </c>
      <c r="P27" s="91">
        <f t="shared" si="4"/>
        <v>0.59588859960930096</v>
      </c>
      <c r="Q27" s="91">
        <f t="shared" si="5"/>
        <v>0.59588859960930096</v>
      </c>
      <c r="R27" s="91">
        <f t="shared" si="6"/>
        <v>0.59588859960930096</v>
      </c>
    </row>
    <row r="28" spans="2:18" x14ac:dyDescent="0.25">
      <c r="B28" s="90">
        <f t="shared" si="8"/>
        <v>2050</v>
      </c>
      <c r="C28" s="91">
        <f>C27*(INFLATION!$B11+1)</f>
        <v>2.5399833880659091</v>
      </c>
      <c r="D28" s="91">
        <f>D27*(INFLATION!$B11+1)</f>
        <v>2.5399833880659091</v>
      </c>
      <c r="E28" s="91">
        <f>E27*(INFLATION!$B11+1)</f>
        <v>2.5399833880659091</v>
      </c>
      <c r="F28" s="91">
        <f>F27*(INFLATION!$B11+1)</f>
        <v>2.5399833880659091</v>
      </c>
      <c r="G28" s="91">
        <f>G27*(INFLATION!$B11+1)</f>
        <v>2.5399833880659091</v>
      </c>
      <c r="H28" s="91">
        <f>H27*(INFLATION!$B11+1)</f>
        <v>2.5399833880659091</v>
      </c>
      <c r="I28" s="91">
        <f>I27*(INFLATION!$B11+1)</f>
        <v>2.5399833880659091</v>
      </c>
      <c r="K28" s="90">
        <f t="shared" si="7"/>
        <v>2050</v>
      </c>
      <c r="L28" s="91">
        <f t="shared" si="0"/>
        <v>0.57938819336619996</v>
      </c>
      <c r="M28" s="91">
        <f t="shared" si="1"/>
        <v>0.57938819336619996</v>
      </c>
      <c r="N28" s="91">
        <f t="shared" si="2"/>
        <v>0.57938819336619996</v>
      </c>
      <c r="O28" s="91">
        <f t="shared" si="3"/>
        <v>0.57938819336619996</v>
      </c>
      <c r="P28" s="91">
        <f t="shared" si="4"/>
        <v>0.57938819336619996</v>
      </c>
      <c r="Q28" s="91">
        <f t="shared" si="5"/>
        <v>0.57938819336619996</v>
      </c>
      <c r="R28" s="91">
        <f t="shared" si="6"/>
        <v>0.57938819336619996</v>
      </c>
    </row>
    <row r="29" spans="2:18" x14ac:dyDescent="0.25">
      <c r="B29" s="90">
        <f t="shared" si="8"/>
        <v>2051</v>
      </c>
      <c r="C29" s="91">
        <f>C28*(INFLATION!$B12+1)</f>
        <v>2.6206668918630833</v>
      </c>
      <c r="D29" s="91">
        <f>D28*(INFLATION!$B12+1)</f>
        <v>2.6206668918630833</v>
      </c>
      <c r="E29" s="91">
        <f>E28*(INFLATION!$B12+1)</f>
        <v>2.6206668918630833</v>
      </c>
      <c r="F29" s="91">
        <f>F28*(INFLATION!$B12+1)</f>
        <v>2.6206668918630833</v>
      </c>
      <c r="G29" s="91">
        <f>G28*(INFLATION!$B12+1)</f>
        <v>2.6206668918630833</v>
      </c>
      <c r="H29" s="91">
        <f>H28*(INFLATION!$B12+1)</f>
        <v>2.6206668918630833</v>
      </c>
      <c r="I29" s="91">
        <f>I28*(INFLATION!$B12+1)</f>
        <v>2.6206668918630833</v>
      </c>
      <c r="K29" s="90">
        <f t="shared" si="7"/>
        <v>2051</v>
      </c>
      <c r="L29" s="91">
        <f t="shared" si="0"/>
        <v>0.56347692695313312</v>
      </c>
      <c r="M29" s="91">
        <f t="shared" si="1"/>
        <v>0.56347692695313312</v>
      </c>
      <c r="N29" s="91">
        <f t="shared" si="2"/>
        <v>0.56347692695313312</v>
      </c>
      <c r="O29" s="91">
        <f t="shared" si="3"/>
        <v>0.56347692695313312</v>
      </c>
      <c r="P29" s="91">
        <f t="shared" si="4"/>
        <v>0.56347692695313312</v>
      </c>
      <c r="Q29" s="91">
        <f t="shared" si="5"/>
        <v>0.56347692695313312</v>
      </c>
      <c r="R29" s="91">
        <f t="shared" si="6"/>
        <v>0.56347692695313312</v>
      </c>
    </row>
    <row r="30" spans="2:18" x14ac:dyDescent="0.25">
      <c r="B30" s="90">
        <f t="shared" si="8"/>
        <v>2052</v>
      </c>
      <c r="C30" s="91">
        <f>C29*(INFLATION!$B13+1)</f>
        <v>2.7042680188851902</v>
      </c>
      <c r="D30" s="91">
        <f>D29*(INFLATION!$B13+1)</f>
        <v>2.7042680188851902</v>
      </c>
      <c r="E30" s="91">
        <f>E29*(INFLATION!$B13+1)</f>
        <v>2.7042680188851902</v>
      </c>
      <c r="F30" s="91">
        <f>F29*(INFLATION!$B13+1)</f>
        <v>2.7042680188851902</v>
      </c>
      <c r="G30" s="91">
        <f>G29*(INFLATION!$B13+1)</f>
        <v>2.7042680188851902</v>
      </c>
      <c r="H30" s="91">
        <f>H29*(INFLATION!$B13+1)</f>
        <v>2.7042680188851902</v>
      </c>
      <c r="I30" s="91">
        <f>I29*(INFLATION!$B13+1)</f>
        <v>2.7042680188851902</v>
      </c>
      <c r="K30" s="90">
        <f t="shared" si="7"/>
        <v>2052</v>
      </c>
      <c r="L30" s="91">
        <f t="shared" si="0"/>
        <v>0.54807450219489973</v>
      </c>
      <c r="M30" s="91">
        <f t="shared" si="1"/>
        <v>0.54807450219489973</v>
      </c>
      <c r="N30" s="91">
        <f t="shared" si="2"/>
        <v>0.54807450219489973</v>
      </c>
      <c r="O30" s="91">
        <f t="shared" si="3"/>
        <v>0.54807450219489973</v>
      </c>
      <c r="P30" s="91">
        <f t="shared" si="4"/>
        <v>0.54807450219489973</v>
      </c>
      <c r="Q30" s="91">
        <f t="shared" si="5"/>
        <v>0.54807450219489973</v>
      </c>
      <c r="R30" s="91">
        <f t="shared" si="6"/>
        <v>0.54807450219489973</v>
      </c>
    </row>
    <row r="31" spans="2:18" x14ac:dyDescent="0.25">
      <c r="B31" s="90">
        <f t="shared" si="8"/>
        <v>2053</v>
      </c>
      <c r="C31" s="91">
        <f>C30*(INFLATION!$B14+1)</f>
        <v>2.7907867691322297</v>
      </c>
      <c r="D31" s="91">
        <f>D30*(INFLATION!$B14+1)</f>
        <v>2.7907867691322297</v>
      </c>
      <c r="E31" s="91">
        <f>E30*(INFLATION!$B14+1)</f>
        <v>2.7907867691322297</v>
      </c>
      <c r="F31" s="91">
        <f>F30*(INFLATION!$B14+1)</f>
        <v>2.7907867691322297</v>
      </c>
      <c r="G31" s="91">
        <f>G30*(INFLATION!$B14+1)</f>
        <v>2.7907867691322297</v>
      </c>
      <c r="H31" s="91">
        <f>H30*(INFLATION!$B14+1)</f>
        <v>2.7907867691322297</v>
      </c>
      <c r="I31" s="91">
        <f>I30*(INFLATION!$B14+1)</f>
        <v>2.7907867691322297</v>
      </c>
      <c r="K31" s="90">
        <f t="shared" si="7"/>
        <v>2053</v>
      </c>
      <c r="L31" s="91">
        <f t="shared" si="0"/>
        <v>0.53314098726929104</v>
      </c>
      <c r="M31" s="91">
        <f t="shared" si="1"/>
        <v>0.53314098726929104</v>
      </c>
      <c r="N31" s="91">
        <f t="shared" si="2"/>
        <v>0.53314098726929104</v>
      </c>
      <c r="O31" s="91">
        <f t="shared" si="3"/>
        <v>0.53314098726929104</v>
      </c>
      <c r="P31" s="91">
        <f t="shared" si="4"/>
        <v>0.53314098726929104</v>
      </c>
      <c r="Q31" s="91">
        <f t="shared" si="5"/>
        <v>0.53314098726929104</v>
      </c>
      <c r="R31" s="91">
        <f t="shared" si="6"/>
        <v>0.53314098726929104</v>
      </c>
    </row>
    <row r="32" spans="2:18" x14ac:dyDescent="0.25">
      <c r="B32" s="90">
        <f t="shared" si="8"/>
        <v>2054</v>
      </c>
      <c r="C32" s="91">
        <f>C31*(INFLATION!$B15+1)</f>
        <v>2.8802872661915631</v>
      </c>
      <c r="D32" s="91">
        <f>D31*(INFLATION!$B15+1)</f>
        <v>2.8802872661915631</v>
      </c>
      <c r="E32" s="91">
        <f>E31*(INFLATION!$B15+1)</f>
        <v>2.8802872661915631</v>
      </c>
      <c r="F32" s="91">
        <f>F31*(INFLATION!$B15+1)</f>
        <v>2.8802872661915631</v>
      </c>
      <c r="G32" s="91">
        <f>G31*(INFLATION!$B15+1)</f>
        <v>2.8802872661915631</v>
      </c>
      <c r="H32" s="91">
        <f>H31*(INFLATION!$B15+1)</f>
        <v>2.8802872661915631</v>
      </c>
      <c r="I32" s="91">
        <f>I31*(INFLATION!$B15+1)</f>
        <v>2.8802872661915631</v>
      </c>
      <c r="K32" s="90">
        <f t="shared" si="7"/>
        <v>2054</v>
      </c>
      <c r="L32" s="91">
        <f t="shared" si="0"/>
        <v>0.51865285334721534</v>
      </c>
      <c r="M32" s="91">
        <f t="shared" si="1"/>
        <v>0.51865285334721534</v>
      </c>
      <c r="N32" s="91">
        <f t="shared" si="2"/>
        <v>0.51865285334721534</v>
      </c>
      <c r="O32" s="91">
        <f t="shared" si="3"/>
        <v>0.51865285334721534</v>
      </c>
      <c r="P32" s="91">
        <f t="shared" si="4"/>
        <v>0.51865285334721534</v>
      </c>
      <c r="Q32" s="91">
        <f t="shared" si="5"/>
        <v>0.51865285334721534</v>
      </c>
      <c r="R32" s="91">
        <f t="shared" si="6"/>
        <v>0.51865285334721534</v>
      </c>
    </row>
    <row r="33" spans="2:18" x14ac:dyDescent="0.25">
      <c r="B33" s="90">
        <f t="shared" si="8"/>
        <v>2055</v>
      </c>
      <c r="C33" s="91">
        <f>C32*(INFLATION!$B16+1)</f>
        <v>2.9728496645473914</v>
      </c>
      <c r="D33" s="91">
        <f>D32*(INFLATION!$B16+1)</f>
        <v>2.9728496645473914</v>
      </c>
      <c r="E33" s="91">
        <f>E32*(INFLATION!$B16+1)</f>
        <v>2.9728496645473914</v>
      </c>
      <c r="F33" s="91">
        <f>F32*(INFLATION!$B16+1)</f>
        <v>2.9728496645473914</v>
      </c>
      <c r="G33" s="91">
        <f>G32*(INFLATION!$B16+1)</f>
        <v>2.9728496645473914</v>
      </c>
      <c r="H33" s="91">
        <f>H32*(INFLATION!$B16+1)</f>
        <v>2.9728496645473914</v>
      </c>
      <c r="I33" s="91">
        <f>I32*(INFLATION!$B16+1)</f>
        <v>2.9728496645473914</v>
      </c>
      <c r="K33" s="90">
        <f t="shared" si="7"/>
        <v>2055</v>
      </c>
      <c r="L33" s="91">
        <f t="shared" si="0"/>
        <v>0.50459095971789958</v>
      </c>
      <c r="M33" s="91">
        <f t="shared" si="1"/>
        <v>0.50459095971789958</v>
      </c>
      <c r="N33" s="91">
        <f t="shared" si="2"/>
        <v>0.50459095971789958</v>
      </c>
      <c r="O33" s="91">
        <f t="shared" si="3"/>
        <v>0.50459095971789958</v>
      </c>
      <c r="P33" s="91">
        <f t="shared" si="4"/>
        <v>0.50459095971789958</v>
      </c>
      <c r="Q33" s="91">
        <f t="shared" si="5"/>
        <v>0.50459095971789958</v>
      </c>
      <c r="R33" s="91">
        <f t="shared" si="6"/>
        <v>0.50459095971789958</v>
      </c>
    </row>
    <row r="34" spans="2:18" x14ac:dyDescent="0.25">
      <c r="B34" s="90">
        <f t="shared" si="8"/>
        <v>2056</v>
      </c>
      <c r="C34" s="91">
        <f>C33*(INFLATION!$B17+1)</f>
        <v>3.0685861804775971</v>
      </c>
      <c r="D34" s="91">
        <f>D33*(INFLATION!$B17+1)</f>
        <v>3.0685861804775971</v>
      </c>
      <c r="E34" s="91">
        <f>E33*(INFLATION!$B17+1)</f>
        <v>3.0685861804775971</v>
      </c>
      <c r="F34" s="91">
        <f>F33*(INFLATION!$B17+1)</f>
        <v>3.0685861804775971</v>
      </c>
      <c r="G34" s="91">
        <f>G33*(INFLATION!$B17+1)</f>
        <v>3.0685861804775971</v>
      </c>
      <c r="H34" s="91">
        <f>H33*(INFLATION!$B17+1)</f>
        <v>3.0685861804775971</v>
      </c>
      <c r="I34" s="91">
        <f>I33*(INFLATION!$B17+1)</f>
        <v>3.0685861804775971</v>
      </c>
      <c r="K34" s="90">
        <f t="shared" si="7"/>
        <v>2056</v>
      </c>
      <c r="L34" s="91">
        <f t="shared" si="0"/>
        <v>0.49094223243862706</v>
      </c>
      <c r="M34" s="91">
        <f t="shared" si="1"/>
        <v>0.49094223243862706</v>
      </c>
      <c r="N34" s="91">
        <f t="shared" si="2"/>
        <v>0.49094223243862706</v>
      </c>
      <c r="O34" s="91">
        <f t="shared" si="3"/>
        <v>0.49094223243862706</v>
      </c>
      <c r="P34" s="91">
        <f t="shared" si="4"/>
        <v>0.49094223243862706</v>
      </c>
      <c r="Q34" s="91">
        <f t="shared" si="5"/>
        <v>0.49094223243862706</v>
      </c>
      <c r="R34" s="91">
        <f t="shared" si="6"/>
        <v>0.49094223243862706</v>
      </c>
    </row>
    <row r="35" spans="2:18" x14ac:dyDescent="0.25">
      <c r="B35" s="90">
        <f t="shared" si="8"/>
        <v>2057</v>
      </c>
      <c r="C35" s="91">
        <f>C34*(INFLATION!$B18+1)</f>
        <v>3.1675449066727013</v>
      </c>
      <c r="D35" s="91">
        <f>D34*(INFLATION!$B18+1)</f>
        <v>3.1675449066727013</v>
      </c>
      <c r="E35" s="91">
        <f>E34*(INFLATION!$B18+1)</f>
        <v>3.1675449066727013</v>
      </c>
      <c r="F35" s="91">
        <f>F34*(INFLATION!$B18+1)</f>
        <v>3.1675449066727013</v>
      </c>
      <c r="G35" s="91">
        <f>G34*(INFLATION!$B18+1)</f>
        <v>3.1675449066727013</v>
      </c>
      <c r="H35" s="91">
        <f>H34*(INFLATION!$B18+1)</f>
        <v>3.1675449066727013</v>
      </c>
      <c r="I35" s="91">
        <f>I34*(INFLATION!$B18+1)</f>
        <v>3.1675449066727013</v>
      </c>
      <c r="K35" s="90">
        <f t="shared" si="7"/>
        <v>2057</v>
      </c>
      <c r="L35" s="91">
        <f t="shared" si="0"/>
        <v>0.47768367515072857</v>
      </c>
      <c r="M35" s="91">
        <f t="shared" si="1"/>
        <v>0.47768367515072857</v>
      </c>
      <c r="N35" s="91">
        <f t="shared" si="2"/>
        <v>0.47768367515072857</v>
      </c>
      <c r="O35" s="91">
        <f t="shared" si="3"/>
        <v>0.47768367515072857</v>
      </c>
      <c r="P35" s="91">
        <f t="shared" si="4"/>
        <v>0.47768367515072857</v>
      </c>
      <c r="Q35" s="91">
        <f t="shared" si="5"/>
        <v>0.47768367515072857</v>
      </c>
      <c r="R35" s="91">
        <f t="shared" si="6"/>
        <v>0.47768367515072857</v>
      </c>
    </row>
    <row r="36" spans="2:18" x14ac:dyDescent="0.25">
      <c r="B36" s="90">
        <f t="shared" si="8"/>
        <v>2058</v>
      </c>
      <c r="C36" s="91">
        <f>C35*(INFLATION!$B19+1)</f>
        <v>3.2698220285137447</v>
      </c>
      <c r="D36" s="91">
        <f>D35*(INFLATION!$B19+1)</f>
        <v>3.2698220285137447</v>
      </c>
      <c r="E36" s="91">
        <f>E35*(INFLATION!$B19+1)</f>
        <v>3.2698220285137447</v>
      </c>
      <c r="F36" s="91">
        <f>F35*(INFLATION!$B19+1)</f>
        <v>3.2698220285137447</v>
      </c>
      <c r="G36" s="91">
        <f>G35*(INFLATION!$B19+1)</f>
        <v>3.2698220285137447</v>
      </c>
      <c r="H36" s="91">
        <f>H35*(INFLATION!$B19+1)</f>
        <v>3.2698220285137447</v>
      </c>
      <c r="I36" s="91">
        <f>I35*(INFLATION!$B19+1)</f>
        <v>3.2698220285137447</v>
      </c>
      <c r="K36" s="90">
        <f t="shared" si="7"/>
        <v>2058</v>
      </c>
      <c r="L36" s="91">
        <f t="shared" si="0"/>
        <v>0.46480124724579835</v>
      </c>
      <c r="M36" s="91">
        <f t="shared" si="1"/>
        <v>0.46480124724579835</v>
      </c>
      <c r="N36" s="91">
        <f t="shared" si="2"/>
        <v>0.46480124724579835</v>
      </c>
      <c r="O36" s="91">
        <f t="shared" si="3"/>
        <v>0.46480124724579835</v>
      </c>
      <c r="P36" s="91">
        <f t="shared" si="4"/>
        <v>0.46480124724579835</v>
      </c>
      <c r="Q36" s="91">
        <f t="shared" si="5"/>
        <v>0.46480124724579835</v>
      </c>
      <c r="R36" s="91">
        <f t="shared" si="6"/>
        <v>0.46480124724579835</v>
      </c>
    </row>
    <row r="37" spans="2:18" x14ac:dyDescent="0.25">
      <c r="B37" s="90">
        <f t="shared" si="8"/>
        <v>2059</v>
      </c>
      <c r="C37" s="91">
        <f>C36*(INFLATION!$B20+1)</f>
        <v>3.3754977004849298</v>
      </c>
      <c r="D37" s="91">
        <f>D36*(INFLATION!$B20+1)</f>
        <v>3.3754977004849298</v>
      </c>
      <c r="E37" s="91">
        <f>E36*(INFLATION!$B20+1)</f>
        <v>3.3754977004849298</v>
      </c>
      <c r="F37" s="91">
        <f>F36*(INFLATION!$B20+1)</f>
        <v>3.3754977004849298</v>
      </c>
      <c r="G37" s="91">
        <f>G36*(INFLATION!$B20+1)</f>
        <v>3.3754977004849298</v>
      </c>
      <c r="H37" s="91">
        <f>H36*(INFLATION!$B20+1)</f>
        <v>3.3754977004849298</v>
      </c>
      <c r="I37" s="91">
        <f>I36*(INFLATION!$B20+1)</f>
        <v>3.3754977004849298</v>
      </c>
      <c r="K37" s="90">
        <f t="shared" si="7"/>
        <v>2059</v>
      </c>
      <c r="L37" s="91">
        <f t="shared" si="0"/>
        <v>0.4522791179430366</v>
      </c>
      <c r="M37" s="91">
        <f t="shared" si="1"/>
        <v>0.4522791179430366</v>
      </c>
      <c r="N37" s="91">
        <f t="shared" si="2"/>
        <v>0.4522791179430366</v>
      </c>
      <c r="O37" s="91">
        <f t="shared" si="3"/>
        <v>0.4522791179430366</v>
      </c>
      <c r="P37" s="91">
        <f t="shared" si="4"/>
        <v>0.4522791179430366</v>
      </c>
      <c r="Q37" s="91">
        <f t="shared" si="5"/>
        <v>0.4522791179430366</v>
      </c>
      <c r="R37" s="91">
        <f t="shared" si="6"/>
        <v>0.4522791179430366</v>
      </c>
    </row>
    <row r="38" spans="2:18" x14ac:dyDescent="0.25">
      <c r="B38" s="90">
        <f t="shared" si="8"/>
        <v>2060</v>
      </c>
      <c r="C38" s="91">
        <f>C37*(INFLATION!$B21+1)</f>
        <v>3.4846681079672979</v>
      </c>
      <c r="D38" s="91">
        <f>D37*(INFLATION!$B21+1)</f>
        <v>3.4846681079672979</v>
      </c>
      <c r="E38" s="91">
        <f>E37*(INFLATION!$B21+1)</f>
        <v>3.4846681079672979</v>
      </c>
      <c r="F38" s="91">
        <f>F37*(INFLATION!$B21+1)</f>
        <v>3.4846681079672979</v>
      </c>
      <c r="G38" s="91">
        <f>G37*(INFLATION!$B21+1)</f>
        <v>3.4846681079672979</v>
      </c>
      <c r="H38" s="91">
        <f>H37*(INFLATION!$B21+1)</f>
        <v>3.4846681079672979</v>
      </c>
      <c r="I38" s="91">
        <f>I37*(INFLATION!$B21+1)</f>
        <v>3.4846681079672979</v>
      </c>
      <c r="K38" s="90">
        <f t="shared" si="7"/>
        <v>2060</v>
      </c>
      <c r="L38" s="91">
        <f t="shared" si="0"/>
        <v>0.44010438055350459</v>
      </c>
      <c r="M38" s="91">
        <f t="shared" si="1"/>
        <v>0.44010438055350459</v>
      </c>
      <c r="N38" s="91">
        <f t="shared" si="2"/>
        <v>0.44010438055350459</v>
      </c>
      <c r="O38" s="91">
        <f t="shared" si="3"/>
        <v>0.44010438055350459</v>
      </c>
      <c r="P38" s="91">
        <f t="shared" si="4"/>
        <v>0.44010438055350459</v>
      </c>
      <c r="Q38" s="91">
        <f t="shared" si="5"/>
        <v>0.44010438055350459</v>
      </c>
      <c r="R38" s="91">
        <f t="shared" si="6"/>
        <v>0.44010438055350459</v>
      </c>
    </row>
    <row r="39" spans="2:18" x14ac:dyDescent="0.25">
      <c r="B39" s="90">
        <f t="shared" si="8"/>
        <v>2061</v>
      </c>
      <c r="C39" s="91">
        <f>C38*(INFLATION!$B22+1)</f>
        <v>3.5973973745482097</v>
      </c>
      <c r="D39" s="91">
        <f>D38*(INFLATION!$B22+1)</f>
        <v>3.5973973745482097</v>
      </c>
      <c r="E39" s="91">
        <f>E38*(INFLATION!$B22+1)</f>
        <v>3.5973973745482097</v>
      </c>
      <c r="F39" s="91">
        <f>F38*(INFLATION!$B22+1)</f>
        <v>3.5973973745482097</v>
      </c>
      <c r="G39" s="91">
        <f>G38*(INFLATION!$B22+1)</f>
        <v>3.5973973745482097</v>
      </c>
      <c r="H39" s="91">
        <f>H38*(INFLATION!$B22+1)</f>
        <v>3.5973973745482097</v>
      </c>
      <c r="I39" s="91">
        <f>I38*(INFLATION!$B22+1)</f>
        <v>3.5973973745482097</v>
      </c>
      <c r="K39" s="90">
        <f t="shared" si="7"/>
        <v>2061</v>
      </c>
      <c r="L39" s="91">
        <f t="shared" si="0"/>
        <v>0.4282607118993661</v>
      </c>
      <c r="M39" s="91">
        <f t="shared" si="1"/>
        <v>0.4282607118993661</v>
      </c>
      <c r="N39" s="91">
        <f t="shared" si="2"/>
        <v>0.4282607118993661</v>
      </c>
      <c r="O39" s="91">
        <f t="shared" si="3"/>
        <v>0.4282607118993661</v>
      </c>
      <c r="P39" s="91">
        <f t="shared" si="4"/>
        <v>0.4282607118993661</v>
      </c>
      <c r="Q39" s="91">
        <f t="shared" si="5"/>
        <v>0.4282607118993661</v>
      </c>
      <c r="R39" s="91">
        <f t="shared" si="6"/>
        <v>0.4282607118993661</v>
      </c>
    </row>
    <row r="40" spans="2:18" x14ac:dyDescent="0.25">
      <c r="B40" s="90">
        <f t="shared" si="8"/>
        <v>2062</v>
      </c>
      <c r="C40" s="91">
        <f>C39*(INFLATION!$B23+1)</f>
        <v>3.7138137474023885</v>
      </c>
      <c r="D40" s="91">
        <f>D39*(INFLATION!$B23+1)</f>
        <v>3.7138137474023885</v>
      </c>
      <c r="E40" s="91">
        <f>E39*(INFLATION!$B23+1)</f>
        <v>3.7138137474023885</v>
      </c>
      <c r="F40" s="91">
        <f>F39*(INFLATION!$B23+1)</f>
        <v>3.7138137474023885</v>
      </c>
      <c r="G40" s="91">
        <f>G39*(INFLATION!$B23+1)</f>
        <v>3.7138137474023885</v>
      </c>
      <c r="H40" s="91">
        <f>H39*(INFLATION!$B23+1)</f>
        <v>3.7138137474023885</v>
      </c>
      <c r="I40" s="91">
        <f>I39*(INFLATION!$B23+1)</f>
        <v>3.7138137474023885</v>
      </c>
      <c r="K40" s="90">
        <f t="shared" si="7"/>
        <v>2062</v>
      </c>
      <c r="L40" s="91">
        <f t="shared" si="0"/>
        <v>0.41674029165604726</v>
      </c>
      <c r="M40" s="91">
        <f t="shared" si="1"/>
        <v>0.41674029165604726</v>
      </c>
      <c r="N40" s="91">
        <f t="shared" si="2"/>
        <v>0.41674029165604726</v>
      </c>
      <c r="O40" s="91">
        <f t="shared" si="3"/>
        <v>0.41674029165604726</v>
      </c>
      <c r="P40" s="91">
        <f t="shared" si="4"/>
        <v>0.41674029165604726</v>
      </c>
      <c r="Q40" s="91">
        <f t="shared" si="5"/>
        <v>0.41674029165604726</v>
      </c>
      <c r="R40" s="91">
        <f t="shared" si="6"/>
        <v>0.41674029165604726</v>
      </c>
    </row>
    <row r="41" spans="2:18" x14ac:dyDescent="0.25">
      <c r="B41" s="90">
        <f t="shared" si="8"/>
        <v>2063</v>
      </c>
      <c r="C41" s="91">
        <f>C40*(INFLATION!$B24+1)</f>
        <v>3.834029442807716</v>
      </c>
      <c r="D41" s="91">
        <f>D40*(INFLATION!$B24+1)</f>
        <v>3.834029442807716</v>
      </c>
      <c r="E41" s="91">
        <f>E40*(INFLATION!$B24+1)</f>
        <v>3.834029442807716</v>
      </c>
      <c r="F41" s="91">
        <f>F40*(INFLATION!$B24+1)</f>
        <v>3.834029442807716</v>
      </c>
      <c r="G41" s="91">
        <f>G40*(INFLATION!$B24+1)</f>
        <v>3.834029442807716</v>
      </c>
      <c r="H41" s="91">
        <f>H40*(INFLATION!$B24+1)</f>
        <v>3.834029442807716</v>
      </c>
      <c r="I41" s="91">
        <f>I40*(INFLATION!$B24+1)</f>
        <v>3.834029442807716</v>
      </c>
      <c r="K41" s="90">
        <f t="shared" si="7"/>
        <v>2063</v>
      </c>
      <c r="L41" s="91">
        <f t="shared" si="0"/>
        <v>0.40553315465422429</v>
      </c>
      <c r="M41" s="91">
        <f t="shared" si="1"/>
        <v>0.40553315465422429</v>
      </c>
      <c r="N41" s="91">
        <f t="shared" si="2"/>
        <v>0.40553315465422429</v>
      </c>
      <c r="O41" s="91">
        <f t="shared" si="3"/>
        <v>0.40553315465422429</v>
      </c>
      <c r="P41" s="91">
        <f t="shared" si="4"/>
        <v>0.40553315465422429</v>
      </c>
      <c r="Q41" s="91">
        <f t="shared" si="5"/>
        <v>0.40553315465422429</v>
      </c>
      <c r="R41" s="91">
        <f t="shared" si="6"/>
        <v>0.40553315465422429</v>
      </c>
    </row>
    <row r="42" spans="2:18" x14ac:dyDescent="0.25">
      <c r="B42" s="90">
        <f t="shared" si="8"/>
        <v>2064</v>
      </c>
      <c r="C42" s="91">
        <f>C41*(INFLATION!$B25+1)</f>
        <v>3.9581727079389135</v>
      </c>
      <c r="D42" s="91">
        <f>D41*(INFLATION!$B25+1)</f>
        <v>3.9581727079389135</v>
      </c>
      <c r="E42" s="91">
        <f>E41*(INFLATION!$B25+1)</f>
        <v>3.9581727079389135</v>
      </c>
      <c r="F42" s="91">
        <f>F41*(INFLATION!$B25+1)</f>
        <v>3.9581727079389135</v>
      </c>
      <c r="G42" s="91">
        <f>G41*(INFLATION!$B25+1)</f>
        <v>3.9581727079389135</v>
      </c>
      <c r="H42" s="91">
        <f>H41*(INFLATION!$B25+1)</f>
        <v>3.9581727079389135</v>
      </c>
      <c r="I42" s="91">
        <f>I41*(INFLATION!$B25+1)</f>
        <v>3.9581727079389135</v>
      </c>
      <c r="K42" s="90">
        <f t="shared" si="7"/>
        <v>2064</v>
      </c>
      <c r="L42" s="91">
        <f t="shared" si="0"/>
        <v>0.39463101359639902</v>
      </c>
      <c r="M42" s="91">
        <f t="shared" si="1"/>
        <v>0.39463101359639902</v>
      </c>
      <c r="N42" s="91">
        <f t="shared" si="2"/>
        <v>0.39463101359639902</v>
      </c>
      <c r="O42" s="91">
        <f t="shared" si="3"/>
        <v>0.39463101359639902</v>
      </c>
      <c r="P42" s="91">
        <f t="shared" si="4"/>
        <v>0.39463101359639902</v>
      </c>
      <c r="Q42" s="91">
        <f t="shared" si="5"/>
        <v>0.39463101359639902</v>
      </c>
      <c r="R42" s="91">
        <f t="shared" si="6"/>
        <v>0.39463101359639902</v>
      </c>
    </row>
    <row r="43" spans="2:18" x14ac:dyDescent="0.25">
      <c r="B43" s="90">
        <f t="shared" si="8"/>
        <v>2065</v>
      </c>
      <c r="C43" s="91">
        <f>C42*(INFLATION!$B26+1)</f>
        <v>4.0863717899707055</v>
      </c>
      <c r="D43" s="91">
        <f>D42*(INFLATION!$B26+1)</f>
        <v>4.0863717899707055</v>
      </c>
      <c r="E43" s="91">
        <f>E42*(INFLATION!$B26+1)</f>
        <v>4.0863717899707055</v>
      </c>
      <c r="F43" s="91">
        <f>F42*(INFLATION!$B26+1)</f>
        <v>4.0863717899707055</v>
      </c>
      <c r="G43" s="91">
        <f>G42*(INFLATION!$B26+1)</f>
        <v>4.0863717899707055</v>
      </c>
      <c r="H43" s="91">
        <f>H42*(INFLATION!$B26+1)</f>
        <v>4.0863717899707055</v>
      </c>
      <c r="I43" s="91">
        <f>I42*(INFLATION!$B26+1)</f>
        <v>4.0863717899707055</v>
      </c>
      <c r="K43" s="90">
        <f t="shared" si="7"/>
        <v>2065</v>
      </c>
      <c r="L43" s="91">
        <f t="shared" si="0"/>
        <v>0.38402535655263864</v>
      </c>
      <c r="M43" s="91">
        <f t="shared" si="1"/>
        <v>0.38402535655263864</v>
      </c>
      <c r="N43" s="91">
        <f t="shared" si="2"/>
        <v>0.38402535655263864</v>
      </c>
      <c r="O43" s="91">
        <f t="shared" si="3"/>
        <v>0.38402535655263864</v>
      </c>
      <c r="P43" s="91">
        <f t="shared" si="4"/>
        <v>0.38402535655263864</v>
      </c>
      <c r="Q43" s="91">
        <f t="shared" si="5"/>
        <v>0.38402535655263864</v>
      </c>
      <c r="R43" s="91">
        <f t="shared" si="6"/>
        <v>0.38402535655263864</v>
      </c>
    </row>
    <row r="44" spans="2:18" x14ac:dyDescent="0.25">
      <c r="B44" s="90">
        <f t="shared" si="8"/>
        <v>2066</v>
      </c>
      <c r="C44" s="91">
        <f>C43*(INFLATION!$B27+1)</f>
        <v>4.2187709669746525</v>
      </c>
      <c r="D44" s="91">
        <f>D43*(INFLATION!$B27+1)</f>
        <v>4.2187709669746525</v>
      </c>
      <c r="E44" s="91">
        <f>E43*(INFLATION!$B27+1)</f>
        <v>4.2187709669746525</v>
      </c>
      <c r="F44" s="91">
        <f>F43*(INFLATION!$B27+1)</f>
        <v>4.2187709669746525</v>
      </c>
      <c r="G44" s="91">
        <f>G43*(INFLATION!$B27+1)</f>
        <v>4.2187709669746525</v>
      </c>
      <c r="H44" s="91">
        <f>H43*(INFLATION!$B27+1)</f>
        <v>4.2187709669746525</v>
      </c>
      <c r="I44" s="91">
        <f>I43*(INFLATION!$B27+1)</f>
        <v>4.2187709669746525</v>
      </c>
      <c r="K44" s="90">
        <f t="shared" si="7"/>
        <v>2066</v>
      </c>
      <c r="L44" s="91">
        <f t="shared" si="0"/>
        <v>0.37370897049961138</v>
      </c>
      <c r="M44" s="91">
        <f t="shared" si="1"/>
        <v>0.37370897049961138</v>
      </c>
      <c r="N44" s="91">
        <f t="shared" si="2"/>
        <v>0.37370897049961138</v>
      </c>
      <c r="O44" s="91">
        <f t="shared" si="3"/>
        <v>0.37370897049961138</v>
      </c>
      <c r="P44" s="91">
        <f t="shared" si="4"/>
        <v>0.37370897049961138</v>
      </c>
      <c r="Q44" s="91">
        <f t="shared" si="5"/>
        <v>0.37370897049961138</v>
      </c>
      <c r="R44" s="91">
        <f t="shared" si="6"/>
        <v>0.37370897049961138</v>
      </c>
    </row>
    <row r="45" spans="2:18" x14ac:dyDescent="0.25">
      <c r="B45" s="90">
        <f t="shared" si="8"/>
        <v>2067</v>
      </c>
      <c r="C45" s="91">
        <f>C44*(INFLATION!$B28+1)</f>
        <v>4.3554984861254775</v>
      </c>
      <c r="D45" s="91">
        <f>D44*(INFLATION!$B28+1)</f>
        <v>4.3554984861254775</v>
      </c>
      <c r="E45" s="91">
        <f>E44*(INFLATION!$B28+1)</f>
        <v>4.3554984861254775</v>
      </c>
      <c r="F45" s="91">
        <f>F44*(INFLATION!$B28+1)</f>
        <v>4.3554984861254775</v>
      </c>
      <c r="G45" s="91">
        <f>G44*(INFLATION!$B28+1)</f>
        <v>4.3554984861254775</v>
      </c>
      <c r="H45" s="91">
        <f>H44*(INFLATION!$B28+1)</f>
        <v>4.3554984861254775</v>
      </c>
      <c r="I45" s="91">
        <f>I44*(INFLATION!$B28+1)</f>
        <v>4.3554984861254775</v>
      </c>
      <c r="K45" s="90">
        <f t="shared" si="7"/>
        <v>2067</v>
      </c>
      <c r="L45" s="91">
        <f t="shared" si="0"/>
        <v>0.36367294368988645</v>
      </c>
      <c r="M45" s="91">
        <f t="shared" si="1"/>
        <v>0.36367294368988645</v>
      </c>
      <c r="N45" s="91">
        <f t="shared" si="2"/>
        <v>0.36367294368988645</v>
      </c>
      <c r="O45" s="91">
        <f t="shared" si="3"/>
        <v>0.36367294368988645</v>
      </c>
      <c r="P45" s="91">
        <f t="shared" si="4"/>
        <v>0.36367294368988645</v>
      </c>
      <c r="Q45" s="91">
        <f t="shared" si="5"/>
        <v>0.36367294368988645</v>
      </c>
      <c r="R45" s="91">
        <f t="shared" si="6"/>
        <v>0.36367294368988645</v>
      </c>
    </row>
    <row r="46" spans="2:18" x14ac:dyDescent="0.25">
      <c r="B46" s="90">
        <f t="shared" si="8"/>
        <v>2068</v>
      </c>
      <c r="C46" s="91">
        <f>C45*(INFLATION!$B29+1)</f>
        <v>4.4967146563915827</v>
      </c>
      <c r="D46" s="91">
        <f>D45*(INFLATION!$B29+1)</f>
        <v>4.4967146563915827</v>
      </c>
      <c r="E46" s="91">
        <f>E45*(INFLATION!$B29+1)</f>
        <v>4.4967146563915827</v>
      </c>
      <c r="F46" s="91">
        <f>F45*(INFLATION!$B29+1)</f>
        <v>4.4967146563915827</v>
      </c>
      <c r="G46" s="91">
        <f>G45*(INFLATION!$B29+1)</f>
        <v>4.4967146563915827</v>
      </c>
      <c r="H46" s="91">
        <f>H45*(INFLATION!$B29+1)</f>
        <v>4.4967146563915827</v>
      </c>
      <c r="I46" s="91">
        <f>I45*(INFLATION!$B29+1)</f>
        <v>4.4967146563915827</v>
      </c>
      <c r="K46" s="90">
        <f t="shared" si="7"/>
        <v>2068</v>
      </c>
      <c r="L46" s="91">
        <f t="shared" si="0"/>
        <v>0.35391095430926012</v>
      </c>
      <c r="M46" s="91">
        <f t="shared" si="1"/>
        <v>0.35391095430926012</v>
      </c>
      <c r="N46" s="91">
        <f t="shared" si="2"/>
        <v>0.35391095430926012</v>
      </c>
      <c r="O46" s="91">
        <f t="shared" si="3"/>
        <v>0.35391095430926012</v>
      </c>
      <c r="P46" s="91">
        <f t="shared" si="4"/>
        <v>0.35391095430926012</v>
      </c>
      <c r="Q46" s="91">
        <f t="shared" si="5"/>
        <v>0.35391095430926012</v>
      </c>
      <c r="R46" s="91">
        <f t="shared" si="6"/>
        <v>0.35391095430926012</v>
      </c>
    </row>
    <row r="47" spans="2:18" x14ac:dyDescent="0.25">
      <c r="B47" s="90">
        <f t="shared" si="8"/>
        <v>2069</v>
      </c>
      <c r="C47" s="91">
        <f>C46*(INFLATION!$B30+1)</f>
        <v>4.6425316940508514</v>
      </c>
      <c r="D47" s="91">
        <f>D46*(INFLATION!$B30+1)</f>
        <v>4.6425316940508514</v>
      </c>
      <c r="E47" s="91">
        <f>E46*(INFLATION!$B30+1)</f>
        <v>4.6425316940508514</v>
      </c>
      <c r="F47" s="91">
        <f>F46*(INFLATION!$B30+1)</f>
        <v>4.6425316940508514</v>
      </c>
      <c r="G47" s="91">
        <f>G46*(INFLATION!$B30+1)</f>
        <v>4.6425316940508514</v>
      </c>
      <c r="H47" s="91">
        <f>H46*(INFLATION!$B30+1)</f>
        <v>4.6425316940508514</v>
      </c>
      <c r="I47" s="91">
        <f>I46*(INFLATION!$B30+1)</f>
        <v>4.6425316940508514</v>
      </c>
      <c r="K47" s="90">
        <f t="shared" si="7"/>
        <v>2069</v>
      </c>
      <c r="L47" s="91">
        <f t="shared" si="0"/>
        <v>0.34441265704628699</v>
      </c>
      <c r="M47" s="91">
        <f t="shared" si="1"/>
        <v>0.34441265704628699</v>
      </c>
      <c r="N47" s="91">
        <f t="shared" si="2"/>
        <v>0.34441265704628699</v>
      </c>
      <c r="O47" s="91">
        <f t="shared" si="3"/>
        <v>0.34441265704628699</v>
      </c>
      <c r="P47" s="91">
        <f t="shared" si="4"/>
        <v>0.34441265704628699</v>
      </c>
      <c r="Q47" s="91">
        <f t="shared" si="5"/>
        <v>0.34441265704628699</v>
      </c>
      <c r="R47" s="91">
        <f t="shared" si="6"/>
        <v>0.34441265704628699</v>
      </c>
    </row>
    <row r="48" spans="2:18" x14ac:dyDescent="0.25">
      <c r="B48" s="90">
        <f t="shared" si="8"/>
        <v>2070</v>
      </c>
      <c r="C48" s="91">
        <f>C47*(INFLATION!$B31+1)</f>
        <v>4.7931419698653679</v>
      </c>
      <c r="D48" s="91">
        <f>D47*(INFLATION!$B31+1)</f>
        <v>4.7931419698653679</v>
      </c>
      <c r="E48" s="91">
        <f>E47*(INFLATION!$B31+1)</f>
        <v>4.7931419698653679</v>
      </c>
      <c r="F48" s="91">
        <f>F47*(INFLATION!$B31+1)</f>
        <v>4.7931419698653679</v>
      </c>
      <c r="G48" s="91">
        <f>G47*(INFLATION!$B31+1)</f>
        <v>4.7931419698653679</v>
      </c>
      <c r="H48" s="91">
        <f>H47*(INFLATION!$B31+1)</f>
        <v>4.7931419698653679</v>
      </c>
      <c r="I48" s="91">
        <f>I47*(INFLATION!$B31+1)</f>
        <v>4.7931419698653679</v>
      </c>
      <c r="K48" s="90">
        <f t="shared" si="7"/>
        <v>2070</v>
      </c>
      <c r="L48" s="91">
        <f t="shared" si="0"/>
        <v>0.33517380468288854</v>
      </c>
      <c r="M48" s="91">
        <f t="shared" si="1"/>
        <v>0.33517380468288854</v>
      </c>
      <c r="N48" s="91">
        <f t="shared" si="2"/>
        <v>0.33517380468288854</v>
      </c>
      <c r="O48" s="91">
        <f t="shared" si="3"/>
        <v>0.33517380468288854</v>
      </c>
      <c r="P48" s="91">
        <f t="shared" si="4"/>
        <v>0.33517380468288854</v>
      </c>
      <c r="Q48" s="91">
        <f t="shared" si="5"/>
        <v>0.33517380468288854</v>
      </c>
      <c r="R48" s="91">
        <f t="shared" si="6"/>
        <v>0.33517380468288854</v>
      </c>
    </row>
  </sheetData>
  <mergeCells count="5">
    <mergeCell ref="S4:W5"/>
    <mergeCell ref="S6:W7"/>
    <mergeCell ref="S9:W10"/>
    <mergeCell ref="B1:I1"/>
    <mergeCell ref="K1:R1"/>
  </mergeCells>
  <pageMargins left="0.7" right="0.7" top="0.75" bottom="0.75" header="0.3" footer="0.3"/>
  <pageSetup scale="73" orientation="portrait" r:id="rId1"/>
  <colBreaks count="2" manualBreakCount="2">
    <brk id="10" max="47" man="1"/>
    <brk id="23"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7B3D4-CD78-49C8-8E80-FFB25226C18F}">
  <sheetPr>
    <tabColor rgb="FF0070C0"/>
  </sheetPr>
  <dimension ref="A1:J46"/>
  <sheetViews>
    <sheetView view="pageBreakPreview" zoomScale="60" zoomScaleNormal="100" workbookViewId="0">
      <selection sqref="A1:C1"/>
    </sheetView>
  </sheetViews>
  <sheetFormatPr defaultRowHeight="15" x14ac:dyDescent="0.25"/>
  <cols>
    <col min="1" max="1" width="16.28515625" bestFit="1" customWidth="1"/>
    <col min="2" max="2" width="19.42578125" bestFit="1" customWidth="1"/>
    <col min="3" max="3" width="12" customWidth="1"/>
    <col min="4" max="4" width="6.28515625" bestFit="1" customWidth="1"/>
    <col min="5" max="5" width="8" bestFit="1" customWidth="1"/>
    <col min="6" max="6" width="6.28515625" customWidth="1"/>
    <col min="7" max="7" width="2.5703125" style="53" customWidth="1"/>
    <col min="9" max="9" width="12.85546875" bestFit="1" customWidth="1"/>
    <col min="10" max="10" width="22.140625" customWidth="1"/>
    <col min="11" max="11" width="29.140625" customWidth="1"/>
  </cols>
  <sheetData>
    <row r="1" spans="1:7" s="36" customFormat="1" ht="21" x14ac:dyDescent="0.35">
      <c r="A1" s="167" t="s">
        <v>116</v>
      </c>
      <c r="B1" s="167"/>
      <c r="C1" s="167"/>
      <c r="D1" s="136"/>
      <c r="E1" s="136"/>
      <c r="F1" s="136"/>
      <c r="G1" s="53"/>
    </row>
    <row r="2" spans="1:7" s="36" customFormat="1" x14ac:dyDescent="0.25">
      <c r="G2" s="53"/>
    </row>
    <row r="3" spans="1:7" ht="15.75" thickBot="1" x14ac:dyDescent="0.3"/>
    <row r="4" spans="1:7" x14ac:dyDescent="0.25">
      <c r="A4" s="208"/>
      <c r="B4" s="209" t="s">
        <v>110</v>
      </c>
      <c r="D4" s="181" t="s">
        <v>8</v>
      </c>
      <c r="E4" s="182"/>
      <c r="F4" s="183"/>
    </row>
    <row r="5" spans="1:7" x14ac:dyDescent="0.25">
      <c r="A5" s="210">
        <f>'NEW FINAL CALCULATION '!A2</f>
        <v>2025</v>
      </c>
      <c r="B5" s="211">
        <f>SUM(E6:F6)*(1+INFLATION!B6)*(1+FUEL!B5)</f>
        <v>0</v>
      </c>
      <c r="D5" s="134"/>
      <c r="E5" s="15" t="str">
        <f>IF(C43="","",C43)</f>
        <v>I-5 Exp</v>
      </c>
      <c r="F5" s="16" t="str">
        <f>IF(D43="","",D43)</f>
        <v>GTN</v>
      </c>
    </row>
    <row r="6" spans="1:7" x14ac:dyDescent="0.25">
      <c r="A6" s="210">
        <f>A5+1</f>
        <v>2026</v>
      </c>
      <c r="B6" s="211">
        <f>SUM(E7:F7)*(1+INFLATION!B7)*(1+FUEL!B6)</f>
        <v>0</v>
      </c>
      <c r="D6" s="13">
        <v>2021</v>
      </c>
      <c r="E6" s="10">
        <f t="shared" ref="E6:E25" si="0">IF(C$44="","",IFERROR((IF($D6&lt;C$45,0,C$44)/(IF($D6&gt;=$C$45,1,0)+IF(AND($D6&gt;=$D$45,$D$45&lt;&gt;""),1,0)+IF(AND($D6&gt;=$E$45,$E$45&lt;&gt;""),1,0)+IF(AND($D6&gt;=$F$45,$F$45&lt;&gt;""),1,0))),0))</f>
        <v>0</v>
      </c>
      <c r="F6" s="25">
        <f t="shared" ref="F6:F25" si="1">IF(D$44="","",IFERROR((IF($D6&lt;D$45,0,D$44)/(IF($D6&gt;=$C$45,1,0)+IF(AND($D6&gt;=$D$45,$D$45&lt;&gt;""),1,0)+IF(AND($D6&gt;=$E$45,$E$45&lt;&gt;""),1,0)+IF(AND($D6&gt;=$F$45,$F$45&lt;&gt;""),1,0))),0))</f>
        <v>0</v>
      </c>
    </row>
    <row r="7" spans="1:7" x14ac:dyDescent="0.25">
      <c r="A7" s="210">
        <f t="shared" ref="A7:A30" si="2">A6+1</f>
        <v>2027</v>
      </c>
      <c r="B7" s="211">
        <f>SUM(E8:F8)*(1+INFLATION!B8)*(1+FUEL!B7)</f>
        <v>0</v>
      </c>
      <c r="D7" s="13">
        <v>2022</v>
      </c>
      <c r="E7" s="10">
        <f t="shared" si="0"/>
        <v>0</v>
      </c>
      <c r="F7" s="25">
        <f t="shared" si="1"/>
        <v>0</v>
      </c>
    </row>
    <row r="8" spans="1:7" x14ac:dyDescent="0.25">
      <c r="A8" s="210">
        <f t="shared" si="2"/>
        <v>2028</v>
      </c>
      <c r="B8" s="211">
        <f>SUM(E9:F9)*(1+INFLATION!B9)*(1+FUEL!B8)</f>
        <v>0</v>
      </c>
      <c r="D8" s="13">
        <v>2023</v>
      </c>
      <c r="E8" s="10">
        <f t="shared" si="0"/>
        <v>0</v>
      </c>
      <c r="F8" s="25">
        <f t="shared" si="1"/>
        <v>0</v>
      </c>
    </row>
    <row r="9" spans="1:7" x14ac:dyDescent="0.25">
      <c r="A9" s="210">
        <f t="shared" si="2"/>
        <v>2029</v>
      </c>
      <c r="B9" s="211">
        <f>SUM(E10:F10)*(1+INFLATION!B10)*(1+FUEL!B9)</f>
        <v>0</v>
      </c>
      <c r="D9" s="13">
        <v>2024</v>
      </c>
      <c r="E9" s="10">
        <f t="shared" si="0"/>
        <v>0</v>
      </c>
      <c r="F9" s="25">
        <f t="shared" si="1"/>
        <v>0</v>
      </c>
    </row>
    <row r="10" spans="1:7" x14ac:dyDescent="0.25">
      <c r="A10" s="210">
        <f t="shared" si="2"/>
        <v>2030</v>
      </c>
      <c r="B10" s="211">
        <f>SUM(E11:F11)*(1+INFLATION!B11)*(1+FUEL!B10)</f>
        <v>0</v>
      </c>
      <c r="D10" s="13">
        <v>2025</v>
      </c>
      <c r="E10" s="10">
        <f t="shared" si="0"/>
        <v>0</v>
      </c>
      <c r="F10" s="25">
        <f t="shared" si="1"/>
        <v>0</v>
      </c>
    </row>
    <row r="11" spans="1:7" x14ac:dyDescent="0.25">
      <c r="A11" s="210">
        <f t="shared" si="2"/>
        <v>2031</v>
      </c>
      <c r="B11" s="211">
        <f>SUM(E12:F12)*(1+INFLATION!B12)*(1+FUEL!B11)</f>
        <v>0</v>
      </c>
      <c r="D11" s="13">
        <v>2026</v>
      </c>
      <c r="E11" s="10">
        <f t="shared" si="0"/>
        <v>0</v>
      </c>
      <c r="F11" s="25">
        <f t="shared" si="1"/>
        <v>0</v>
      </c>
    </row>
    <row r="12" spans="1:7" x14ac:dyDescent="0.25">
      <c r="A12" s="210">
        <f t="shared" si="2"/>
        <v>2032</v>
      </c>
      <c r="B12" s="211">
        <f>SUM(E13:F13)*(1+INFLATION!B13)*(1+FUEL!B12)</f>
        <v>0</v>
      </c>
      <c r="D12" s="13">
        <v>2027</v>
      </c>
      <c r="E12" s="10">
        <f t="shared" si="0"/>
        <v>0</v>
      </c>
      <c r="F12" s="25">
        <f t="shared" si="1"/>
        <v>0</v>
      </c>
    </row>
    <row r="13" spans="1:7" x14ac:dyDescent="0.25">
      <c r="A13" s="210">
        <f t="shared" si="2"/>
        <v>2033</v>
      </c>
      <c r="B13" s="211">
        <f>SUM(E14:F14)*(1+INFLATION!B14)*(1+FUEL!B13)</f>
        <v>0</v>
      </c>
      <c r="D13" s="13">
        <v>2028</v>
      </c>
      <c r="E13" s="10">
        <f t="shared" si="0"/>
        <v>0</v>
      </c>
      <c r="F13" s="25">
        <f t="shared" si="1"/>
        <v>0</v>
      </c>
    </row>
    <row r="14" spans="1:7" x14ac:dyDescent="0.25">
      <c r="A14" s="210">
        <f t="shared" si="2"/>
        <v>2034</v>
      </c>
      <c r="B14" s="211">
        <f>SUM(E15:F15)*(1+INFLATION!B15)*(1+FUEL!B14)</f>
        <v>0</v>
      </c>
      <c r="D14" s="13">
        <v>2029</v>
      </c>
      <c r="E14" s="10">
        <f t="shared" si="0"/>
        <v>0</v>
      </c>
      <c r="F14" s="25">
        <f t="shared" si="1"/>
        <v>0</v>
      </c>
    </row>
    <row r="15" spans="1:7" x14ac:dyDescent="0.25">
      <c r="A15" s="210">
        <f t="shared" si="2"/>
        <v>2035</v>
      </c>
      <c r="B15" s="211">
        <f>SUM(E16:F16)*(1+INFLATION!B16)*(1+FUEL!B15)</f>
        <v>0</v>
      </c>
      <c r="D15" s="13">
        <v>2030</v>
      </c>
      <c r="E15" s="10">
        <f t="shared" si="0"/>
        <v>0</v>
      </c>
      <c r="F15" s="25">
        <f t="shared" si="1"/>
        <v>0</v>
      </c>
    </row>
    <row r="16" spans="1:7" x14ac:dyDescent="0.25">
      <c r="A16" s="210">
        <f t="shared" si="2"/>
        <v>2036</v>
      </c>
      <c r="B16" s="211">
        <f>SUM(E17:F17)*(1+INFLATION!B17)*(1+FUEL!B16)</f>
        <v>0</v>
      </c>
      <c r="D16" s="13">
        <v>2031</v>
      </c>
      <c r="E16" s="10">
        <f t="shared" si="0"/>
        <v>0</v>
      </c>
      <c r="F16" s="25">
        <f t="shared" si="1"/>
        <v>0</v>
      </c>
    </row>
    <row r="17" spans="1:7" x14ac:dyDescent="0.25">
      <c r="A17" s="210">
        <f t="shared" si="2"/>
        <v>2037</v>
      </c>
      <c r="B17" s="211">
        <f>SUM(E18:F18)*(1+INFLATION!B18)*(1+FUEL!B17)</f>
        <v>0</v>
      </c>
      <c r="D17" s="13">
        <v>2032</v>
      </c>
      <c r="E17" s="10">
        <f t="shared" si="0"/>
        <v>0</v>
      </c>
      <c r="F17" s="25">
        <f t="shared" si="1"/>
        <v>0</v>
      </c>
    </row>
    <row r="18" spans="1:7" x14ac:dyDescent="0.25">
      <c r="A18" s="210">
        <f t="shared" si="2"/>
        <v>2038</v>
      </c>
      <c r="B18" s="211">
        <f>SUM(E19:F19)*(1+INFLATION!B19)*(1+FUEL!B18)</f>
        <v>0</v>
      </c>
      <c r="D18" s="13">
        <v>2033</v>
      </c>
      <c r="E18" s="10">
        <f t="shared" si="0"/>
        <v>0</v>
      </c>
      <c r="F18" s="25">
        <f t="shared" si="1"/>
        <v>0</v>
      </c>
    </row>
    <row r="19" spans="1:7" x14ac:dyDescent="0.25">
      <c r="A19" s="210">
        <f t="shared" si="2"/>
        <v>2039</v>
      </c>
      <c r="B19" s="211">
        <f>SUM(E20:F20)*(1+INFLATION!B20)*(1+FUEL!B19)</f>
        <v>0</v>
      </c>
      <c r="D19" s="13">
        <v>2034</v>
      </c>
      <c r="E19" s="10">
        <f t="shared" si="0"/>
        <v>0</v>
      </c>
      <c r="F19" s="25">
        <f t="shared" si="1"/>
        <v>0</v>
      </c>
    </row>
    <row r="20" spans="1:7" x14ac:dyDescent="0.25">
      <c r="A20" s="210">
        <f t="shared" si="2"/>
        <v>2040</v>
      </c>
      <c r="B20" s="211">
        <f>SUM(E21:F21)*(1+INFLATION!B21)*(1+FUEL!B20)</f>
        <v>0</v>
      </c>
      <c r="D20" s="13">
        <v>2035</v>
      </c>
      <c r="E20" s="10">
        <f t="shared" si="0"/>
        <v>0</v>
      </c>
      <c r="F20" s="25">
        <f t="shared" si="1"/>
        <v>0</v>
      </c>
    </row>
    <row r="21" spans="1:7" x14ac:dyDescent="0.25">
      <c r="A21" s="210">
        <f t="shared" si="2"/>
        <v>2041</v>
      </c>
      <c r="B21" s="211">
        <f>SUM(E22:F22)*(1+INFLATION!B22)*(1+FUEL!B21)</f>
        <v>0</v>
      </c>
      <c r="D21" s="13">
        <v>2036</v>
      </c>
      <c r="E21" s="10">
        <f t="shared" si="0"/>
        <v>0</v>
      </c>
      <c r="F21" s="25">
        <f t="shared" si="1"/>
        <v>0</v>
      </c>
    </row>
    <row r="22" spans="1:7" x14ac:dyDescent="0.25">
      <c r="A22" s="210">
        <f t="shared" si="2"/>
        <v>2042</v>
      </c>
      <c r="B22" s="211">
        <f>SUM(E23:F23)*(1+INFLATION!B23)*(1+FUEL!B22)</f>
        <v>0</v>
      </c>
      <c r="D22" s="13">
        <v>2037</v>
      </c>
      <c r="E22" s="10">
        <f t="shared" si="0"/>
        <v>0</v>
      </c>
      <c r="F22" s="25">
        <f t="shared" si="1"/>
        <v>0</v>
      </c>
    </row>
    <row r="23" spans="1:7" x14ac:dyDescent="0.25">
      <c r="A23" s="210">
        <f t="shared" si="2"/>
        <v>2043</v>
      </c>
      <c r="B23" s="211">
        <f>SUM(E24:F24)*(1+INFLATION!B24)*(1+FUEL!B23)</f>
        <v>0</v>
      </c>
      <c r="D23" s="13">
        <v>2038</v>
      </c>
      <c r="E23" s="10">
        <f t="shared" si="0"/>
        <v>0</v>
      </c>
      <c r="F23" s="25">
        <f t="shared" si="1"/>
        <v>0</v>
      </c>
    </row>
    <row r="24" spans="1:7" x14ac:dyDescent="0.25">
      <c r="A24" s="210">
        <f t="shared" si="2"/>
        <v>2044</v>
      </c>
      <c r="B24" s="211">
        <f>SUM(E25:F25)*(1+INFLATION!B25)*(1+FUEL!B24)</f>
        <v>0</v>
      </c>
      <c r="D24" s="13">
        <v>2039</v>
      </c>
      <c r="E24" s="10">
        <f t="shared" si="0"/>
        <v>0</v>
      </c>
      <c r="F24" s="25">
        <f t="shared" si="1"/>
        <v>0</v>
      </c>
    </row>
    <row r="25" spans="1:7" s="120" customFormat="1" ht="15.75" thickBot="1" x14ac:dyDescent="0.3">
      <c r="A25" s="210">
        <f t="shared" si="2"/>
        <v>2045</v>
      </c>
      <c r="B25" s="211">
        <f>SUM(E26:F26)*(1+INFLATION!B26)*(1+FUEL!B25)</f>
        <v>0</v>
      </c>
      <c r="D25" s="14">
        <v>2040</v>
      </c>
      <c r="E25" s="52">
        <f t="shared" si="0"/>
        <v>0</v>
      </c>
      <c r="F25" s="26">
        <f t="shared" si="1"/>
        <v>0</v>
      </c>
      <c r="G25" s="53"/>
    </row>
    <row r="26" spans="1:7" s="120" customFormat="1" x14ac:dyDescent="0.25">
      <c r="A26" s="210">
        <f t="shared" si="2"/>
        <v>2046</v>
      </c>
      <c r="B26" s="211">
        <f>SUM(E27:F27)*(1+INFLATION!B27)*(1+FUEL!B26)</f>
        <v>0</v>
      </c>
      <c r="D26" s="132"/>
      <c r="E26" s="132"/>
      <c r="F26" s="132"/>
      <c r="G26" s="53"/>
    </row>
    <row r="27" spans="1:7" s="120" customFormat="1" x14ac:dyDescent="0.25">
      <c r="A27" s="210">
        <f t="shared" si="2"/>
        <v>2047</v>
      </c>
      <c r="B27" s="211">
        <f>SUM(E28:F28)*(1+INFLATION!B28)*(1+FUEL!B27)</f>
        <v>0</v>
      </c>
      <c r="D27" s="132"/>
      <c r="E27" s="132"/>
      <c r="F27" s="132"/>
      <c r="G27" s="53"/>
    </row>
    <row r="28" spans="1:7" s="120" customFormat="1" x14ac:dyDescent="0.25">
      <c r="A28" s="210">
        <f t="shared" si="2"/>
        <v>2048</v>
      </c>
      <c r="B28" s="211">
        <f>SUM(E29:F29)*(1+INFLATION!B29)*(1+FUEL!B28)</f>
        <v>0</v>
      </c>
      <c r="D28" s="132"/>
      <c r="E28" s="132"/>
      <c r="F28" s="132"/>
      <c r="G28" s="53"/>
    </row>
    <row r="29" spans="1:7" x14ac:dyDescent="0.25">
      <c r="A29" s="210">
        <f t="shared" si="2"/>
        <v>2049</v>
      </c>
      <c r="B29" s="211">
        <f>SUM(E30:F30)*(1+INFLATION!B30)*(1+FUEL!B29)</f>
        <v>0</v>
      </c>
      <c r="D29" s="132"/>
      <c r="E29" s="132"/>
      <c r="F29" s="132"/>
    </row>
    <row r="30" spans="1:7" ht="15.75" thickBot="1" x14ac:dyDescent="0.3">
      <c r="A30" s="212">
        <f t="shared" si="2"/>
        <v>2050</v>
      </c>
      <c r="B30" s="213">
        <f>SUM(E31:F31)*(1+INFLATION!B31)*(1+FUEL!B30)</f>
        <v>0</v>
      </c>
    </row>
    <row r="31" spans="1:7" x14ac:dyDescent="0.25">
      <c r="A31" s="168" t="s">
        <v>12</v>
      </c>
      <c r="B31" s="169"/>
      <c r="C31" s="169"/>
      <c r="D31" s="169"/>
      <c r="E31" s="169"/>
      <c r="F31" s="174"/>
    </row>
    <row r="32" spans="1:7" x14ac:dyDescent="0.25">
      <c r="A32" s="170"/>
      <c r="B32" s="171"/>
      <c r="C32" s="171"/>
      <c r="D32" s="171"/>
      <c r="E32" s="171"/>
      <c r="F32" s="175"/>
    </row>
    <row r="33" spans="1:10" ht="15.75" thickBot="1" x14ac:dyDescent="0.3">
      <c r="A33" s="172"/>
      <c r="B33" s="173"/>
      <c r="C33" s="173"/>
      <c r="D33" s="173"/>
      <c r="E33" s="173"/>
      <c r="F33" s="176"/>
    </row>
    <row r="34" spans="1:10" x14ac:dyDescent="0.25">
      <c r="A34" s="11" t="s">
        <v>3</v>
      </c>
      <c r="B34" s="177" t="s">
        <v>23</v>
      </c>
      <c r="C34" s="177"/>
      <c r="D34" s="177" t="s">
        <v>64</v>
      </c>
      <c r="E34" s="177"/>
      <c r="F34" s="180"/>
    </row>
    <row r="35" spans="1:10" x14ac:dyDescent="0.25">
      <c r="A35" s="11" t="s">
        <v>6</v>
      </c>
      <c r="B35" s="177">
        <v>0.74</v>
      </c>
      <c r="C35" s="177"/>
      <c r="D35" s="177">
        <v>0.22046299999999999</v>
      </c>
      <c r="E35" s="177"/>
      <c r="F35" s="180"/>
    </row>
    <row r="36" spans="1:10" ht="15.75" thickBot="1" x14ac:dyDescent="0.3">
      <c r="A36" s="12" t="s">
        <v>7</v>
      </c>
      <c r="B36" s="177">
        <v>2022</v>
      </c>
      <c r="C36" s="177"/>
      <c r="D36" s="177">
        <v>2027</v>
      </c>
      <c r="E36" s="177"/>
      <c r="F36" s="180"/>
    </row>
    <row r="37" spans="1:10" ht="50.25" customHeight="1" thickBot="1" x14ac:dyDescent="0.3">
      <c r="A37" s="22" t="s">
        <v>107</v>
      </c>
      <c r="B37" s="178" t="s">
        <v>108</v>
      </c>
      <c r="C37" s="178"/>
      <c r="D37" s="178" t="s">
        <v>109</v>
      </c>
      <c r="E37" s="178"/>
      <c r="F37" s="179"/>
    </row>
    <row r="39" spans="1:10" ht="15.75" thickBot="1" x14ac:dyDescent="0.3"/>
    <row r="40" spans="1:10" ht="31.5" x14ac:dyDescent="0.5">
      <c r="B40" s="168" t="s">
        <v>12</v>
      </c>
      <c r="C40" s="169"/>
      <c r="D40" s="169"/>
      <c r="E40" s="46"/>
      <c r="F40" s="46"/>
      <c r="G40" s="46"/>
      <c r="H40" s="46"/>
      <c r="I40" s="46"/>
      <c r="J40" s="47"/>
    </row>
    <row r="41" spans="1:10" ht="31.5" x14ac:dyDescent="0.5">
      <c r="B41" s="170"/>
      <c r="C41" s="171"/>
      <c r="D41" s="171"/>
      <c r="E41" s="48"/>
      <c r="F41" s="48"/>
      <c r="G41" s="48"/>
      <c r="H41" s="48"/>
      <c r="I41" s="48"/>
      <c r="J41" s="49"/>
    </row>
    <row r="42" spans="1:10" ht="32.25" thickBot="1" x14ac:dyDescent="0.55000000000000004">
      <c r="B42" s="172"/>
      <c r="C42" s="173"/>
      <c r="D42" s="173"/>
      <c r="E42" s="50"/>
      <c r="F42" s="50"/>
      <c r="G42" s="50"/>
      <c r="H42" s="50"/>
      <c r="I42" s="50"/>
      <c r="J42" s="51"/>
    </row>
    <row r="43" spans="1:10" x14ac:dyDescent="0.25">
      <c r="B43" s="11" t="s">
        <v>3</v>
      </c>
      <c r="C43" s="6" t="s">
        <v>23</v>
      </c>
      <c r="D43" s="6" t="s">
        <v>64</v>
      </c>
      <c r="E43" s="6"/>
      <c r="F43" s="6"/>
      <c r="G43" s="6"/>
      <c r="H43" s="6"/>
      <c r="I43" s="6"/>
      <c r="J43" s="7"/>
    </row>
    <row r="44" spans="1:10" x14ac:dyDescent="0.25">
      <c r="B44" s="11" t="s">
        <v>6</v>
      </c>
      <c r="C44" s="6">
        <v>0</v>
      </c>
      <c r="D44" s="6">
        <v>0</v>
      </c>
      <c r="E44" s="6"/>
      <c r="F44" s="6"/>
      <c r="G44" s="6"/>
      <c r="H44" s="6"/>
      <c r="I44" s="6"/>
      <c r="J44" s="7"/>
    </row>
    <row r="45" spans="1:10" ht="15.75" thickBot="1" x14ac:dyDescent="0.3">
      <c r="B45" s="12" t="s">
        <v>7</v>
      </c>
      <c r="C45" s="8">
        <v>0</v>
      </c>
      <c r="D45" s="8">
        <v>0</v>
      </c>
      <c r="E45" s="8"/>
      <c r="F45" s="8"/>
      <c r="G45" s="8"/>
      <c r="H45" s="8"/>
      <c r="I45" s="8"/>
      <c r="J45" s="9"/>
    </row>
    <row r="46" spans="1:10" ht="15.75" thickBot="1" x14ac:dyDescent="0.3">
      <c r="B46" s="22" t="s">
        <v>107</v>
      </c>
      <c r="C46" s="37" t="s">
        <v>126</v>
      </c>
      <c r="D46" s="37" t="s">
        <v>126</v>
      </c>
      <c r="E46" s="38"/>
      <c r="F46" s="38"/>
      <c r="G46" s="38"/>
      <c r="H46" s="38"/>
      <c r="I46" s="38"/>
      <c r="J46" s="39"/>
    </row>
  </sheetData>
  <mergeCells count="12">
    <mergeCell ref="A1:C1"/>
    <mergeCell ref="B40:D42"/>
    <mergeCell ref="A31:F33"/>
    <mergeCell ref="B34:C34"/>
    <mergeCell ref="B35:C35"/>
    <mergeCell ref="B36:C36"/>
    <mergeCell ref="B37:C37"/>
    <mergeCell ref="D37:F37"/>
    <mergeCell ref="D34:F34"/>
    <mergeCell ref="D35:F35"/>
    <mergeCell ref="D36:F36"/>
    <mergeCell ref="D4:F4"/>
  </mergeCells>
  <pageMargins left="0.7" right="0.7" top="0.75" bottom="0.75" header="0.3" footer="0.3"/>
  <pageSetup orientation="portrait" r:id="rId1"/>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68BB0-F657-479F-BC13-4EF8D89FAC80}">
  <sheetPr>
    <tabColor rgb="FF0070C0"/>
  </sheetPr>
  <dimension ref="A1:BB35"/>
  <sheetViews>
    <sheetView view="pageBreakPreview" zoomScaleNormal="100" zoomScaleSheetLayoutView="100" workbookViewId="0">
      <selection sqref="A1:C3"/>
    </sheetView>
  </sheetViews>
  <sheetFormatPr defaultRowHeight="15" x14ac:dyDescent="0.25"/>
  <cols>
    <col min="1" max="1" width="14" bestFit="1" customWidth="1"/>
    <col min="2" max="2" width="15.140625" bestFit="1" customWidth="1"/>
    <col min="3" max="3" width="7" bestFit="1" customWidth="1"/>
    <col min="4" max="4" width="16.140625" bestFit="1" customWidth="1"/>
    <col min="5" max="5" width="12" bestFit="1" customWidth="1"/>
  </cols>
  <sheetData>
    <row r="1" spans="1:5" s="36" customFormat="1" ht="33.6" customHeight="1" thickBot="1" x14ac:dyDescent="0.55000000000000004">
      <c r="A1" s="184" t="s">
        <v>117</v>
      </c>
      <c r="B1" s="184"/>
      <c r="C1" s="184"/>
      <c r="D1" s="185" t="s">
        <v>11</v>
      </c>
      <c r="E1" s="186"/>
    </row>
    <row r="2" spans="1:5" s="36" customFormat="1" x14ac:dyDescent="0.25">
      <c r="A2" s="184"/>
      <c r="B2" s="184"/>
      <c r="C2" s="184"/>
      <c r="D2" s="27" t="s">
        <v>13</v>
      </c>
      <c r="E2" s="20" t="s">
        <v>6</v>
      </c>
    </row>
    <row r="3" spans="1:5" s="36" customFormat="1" ht="15.75" thickBot="1" x14ac:dyDescent="0.3">
      <c r="A3" s="184"/>
      <c r="B3" s="184"/>
      <c r="C3" s="184"/>
      <c r="D3" s="5" t="s">
        <v>67</v>
      </c>
      <c r="E3" s="7">
        <v>4.1886179999999999E-3</v>
      </c>
    </row>
    <row r="4" spans="1:5" x14ac:dyDescent="0.25">
      <c r="A4" s="208"/>
      <c r="B4" s="209" t="s">
        <v>111</v>
      </c>
      <c r="D4" s="5" t="s">
        <v>68</v>
      </c>
      <c r="E4" s="7">
        <v>4.1886179999999999E-3</v>
      </c>
    </row>
    <row r="5" spans="1:5" x14ac:dyDescent="0.25">
      <c r="A5" s="210">
        <f>'NEW FINAL CALCULATION '!A2</f>
        <v>2025</v>
      </c>
      <c r="B5" s="214">
        <f>$E$35</f>
        <v>8.8684241249999997E-3</v>
      </c>
      <c r="D5" s="5" t="s">
        <v>69</v>
      </c>
      <c r="E5" s="7">
        <v>1.364454E-3</v>
      </c>
    </row>
    <row r="6" spans="1:5" x14ac:dyDescent="0.25">
      <c r="A6" s="210">
        <f>A5+1</f>
        <v>2026</v>
      </c>
      <c r="B6" s="214">
        <f t="shared" ref="B6:B30" si="0">$E$35</f>
        <v>8.8684241249999997E-3</v>
      </c>
      <c r="D6" s="5" t="s">
        <v>70</v>
      </c>
      <c r="E6" s="7">
        <v>3.4229159999999998E-3</v>
      </c>
    </row>
    <row r="7" spans="1:5" ht="14.1" customHeight="1" x14ac:dyDescent="0.25">
      <c r="A7" s="210">
        <f t="shared" ref="A7:A30" si="1">A6+1</f>
        <v>2027</v>
      </c>
      <c r="B7" s="214">
        <f t="shared" si="0"/>
        <v>8.8684241249999997E-3</v>
      </c>
      <c r="D7" s="5" t="s">
        <v>71</v>
      </c>
      <c r="E7" s="7">
        <v>3.5627760000000001E-3</v>
      </c>
    </row>
    <row r="8" spans="1:5" ht="14.45" customHeight="1" x14ac:dyDescent="0.25">
      <c r="A8" s="210">
        <f t="shared" si="1"/>
        <v>2028</v>
      </c>
      <c r="B8" s="214">
        <f t="shared" si="0"/>
        <v>8.8684241249999997E-3</v>
      </c>
      <c r="D8" s="5" t="s">
        <v>72</v>
      </c>
      <c r="E8" s="7">
        <v>5.1680160000000001E-3</v>
      </c>
    </row>
    <row r="9" spans="1:5" ht="15" customHeight="1" x14ac:dyDescent="0.25">
      <c r="A9" s="210">
        <f t="shared" si="1"/>
        <v>2029</v>
      </c>
      <c r="B9" s="214">
        <f t="shared" si="0"/>
        <v>8.8684241249999997E-3</v>
      </c>
      <c r="D9" s="5" t="s">
        <v>73</v>
      </c>
      <c r="E9" s="7">
        <v>5.3776800000000001E-3</v>
      </c>
    </row>
    <row r="10" spans="1:5" x14ac:dyDescent="0.25">
      <c r="A10" s="210">
        <f t="shared" si="1"/>
        <v>2030</v>
      </c>
      <c r="B10" s="214">
        <f t="shared" si="0"/>
        <v>8.8684241249999997E-3</v>
      </c>
      <c r="D10" s="5" t="s">
        <v>74</v>
      </c>
      <c r="E10" s="7">
        <v>5.52258E-3</v>
      </c>
    </row>
    <row r="11" spans="1:5" x14ac:dyDescent="0.25">
      <c r="A11" s="210">
        <f t="shared" si="1"/>
        <v>2031</v>
      </c>
      <c r="B11" s="214">
        <f t="shared" si="0"/>
        <v>8.8684241249999997E-3</v>
      </c>
      <c r="D11" s="5" t="s">
        <v>75</v>
      </c>
      <c r="E11" s="7">
        <v>5.726826E-3</v>
      </c>
    </row>
    <row r="12" spans="1:5" x14ac:dyDescent="0.25">
      <c r="A12" s="210">
        <f t="shared" si="1"/>
        <v>2032</v>
      </c>
      <c r="B12" s="214">
        <f t="shared" si="0"/>
        <v>8.8684241249999997E-3</v>
      </c>
      <c r="D12" s="5" t="s">
        <v>76</v>
      </c>
      <c r="E12" s="7">
        <v>5.9117939999999997E-3</v>
      </c>
    </row>
    <row r="13" spans="1:5" x14ac:dyDescent="0.25">
      <c r="A13" s="210">
        <f t="shared" si="1"/>
        <v>2033</v>
      </c>
      <c r="B13" s="214">
        <f t="shared" si="0"/>
        <v>8.8684241249999997E-3</v>
      </c>
      <c r="D13" s="5" t="s">
        <v>77</v>
      </c>
      <c r="E13" s="7">
        <v>6.09714E-3</v>
      </c>
    </row>
    <row r="14" spans="1:5" ht="14.45" customHeight="1" x14ac:dyDescent="0.25">
      <c r="A14" s="210">
        <f t="shared" si="1"/>
        <v>2034</v>
      </c>
      <c r="B14" s="214">
        <f t="shared" si="0"/>
        <v>8.8684241249999997E-3</v>
      </c>
      <c r="D14" s="5" t="s">
        <v>78</v>
      </c>
      <c r="E14" s="7">
        <v>6.3122220000000001E-3</v>
      </c>
    </row>
    <row r="15" spans="1:5" ht="14.45" customHeight="1" x14ac:dyDescent="0.25">
      <c r="A15" s="210">
        <f t="shared" si="1"/>
        <v>2035</v>
      </c>
      <c r="B15" s="214">
        <f t="shared" si="0"/>
        <v>8.8684241249999997E-3</v>
      </c>
      <c r="D15" s="5" t="s">
        <v>79</v>
      </c>
      <c r="E15" s="7">
        <v>6.5449439999999996E-3</v>
      </c>
    </row>
    <row r="16" spans="1:5" ht="14.45" customHeight="1" x14ac:dyDescent="0.25">
      <c r="A16" s="210">
        <f t="shared" si="1"/>
        <v>2036</v>
      </c>
      <c r="B16" s="214">
        <f t="shared" si="0"/>
        <v>8.8684241249999997E-3</v>
      </c>
      <c r="D16" s="5" t="s">
        <v>80</v>
      </c>
      <c r="E16" s="7">
        <v>7.7169960000000003E-3</v>
      </c>
    </row>
    <row r="17" spans="1:5" ht="15" customHeight="1" x14ac:dyDescent="0.25">
      <c r="A17" s="210">
        <f t="shared" si="1"/>
        <v>2037</v>
      </c>
      <c r="B17" s="214">
        <f t="shared" si="0"/>
        <v>8.8684241249999997E-3</v>
      </c>
      <c r="D17" s="5" t="s">
        <v>174</v>
      </c>
      <c r="E17" s="7">
        <v>7.7169960000000003E-3</v>
      </c>
    </row>
    <row r="18" spans="1:5" x14ac:dyDescent="0.25">
      <c r="A18" s="210">
        <f t="shared" si="1"/>
        <v>2038</v>
      </c>
      <c r="B18" s="214">
        <f t="shared" si="0"/>
        <v>8.8684241249999997E-3</v>
      </c>
      <c r="D18" s="5" t="s">
        <v>94</v>
      </c>
      <c r="E18" s="7">
        <v>7.7169960000000003E-3</v>
      </c>
    </row>
    <row r="19" spans="1:5" x14ac:dyDescent="0.25">
      <c r="A19" s="210">
        <f t="shared" si="1"/>
        <v>2039</v>
      </c>
      <c r="B19" s="214">
        <f t="shared" si="0"/>
        <v>8.8684241249999997E-3</v>
      </c>
      <c r="D19" s="5" t="s">
        <v>81</v>
      </c>
      <c r="E19" s="7">
        <v>9.3500000000000007E-3</v>
      </c>
    </row>
    <row r="20" spans="1:5" x14ac:dyDescent="0.25">
      <c r="A20" s="210">
        <f t="shared" si="1"/>
        <v>2040</v>
      </c>
      <c r="B20" s="214">
        <f t="shared" si="0"/>
        <v>8.8684241249999997E-3</v>
      </c>
      <c r="D20" s="5" t="s">
        <v>82</v>
      </c>
      <c r="E20" s="7">
        <v>9.3500000000000007E-3</v>
      </c>
    </row>
    <row r="21" spans="1:5" x14ac:dyDescent="0.25">
      <c r="A21" s="210">
        <f t="shared" si="1"/>
        <v>2041</v>
      </c>
      <c r="B21" s="214">
        <f t="shared" si="0"/>
        <v>8.8684241249999997E-3</v>
      </c>
      <c r="D21" s="5" t="s">
        <v>83</v>
      </c>
      <c r="E21" s="7">
        <v>9.3500000000000007E-3</v>
      </c>
    </row>
    <row r="22" spans="1:5" x14ac:dyDescent="0.25">
      <c r="A22" s="210">
        <f t="shared" si="1"/>
        <v>2042</v>
      </c>
      <c r="B22" s="214">
        <f t="shared" si="0"/>
        <v>8.8684241249999997E-3</v>
      </c>
      <c r="D22" s="5" t="s">
        <v>84</v>
      </c>
      <c r="E22" s="7">
        <v>9.3500000000000007E-3</v>
      </c>
    </row>
    <row r="23" spans="1:5" x14ac:dyDescent="0.25">
      <c r="A23" s="210">
        <f t="shared" si="1"/>
        <v>2043</v>
      </c>
      <c r="B23" s="214">
        <f t="shared" si="0"/>
        <v>8.8684241249999997E-3</v>
      </c>
      <c r="D23" s="5" t="s">
        <v>175</v>
      </c>
      <c r="E23" s="7">
        <v>9.3500000000000007E-3</v>
      </c>
    </row>
    <row r="24" spans="1:5" x14ac:dyDescent="0.25">
      <c r="A24" s="210">
        <f t="shared" si="1"/>
        <v>2044</v>
      </c>
      <c r="B24" s="214">
        <f t="shared" si="0"/>
        <v>8.8684241249999997E-3</v>
      </c>
      <c r="D24" s="5" t="s">
        <v>85</v>
      </c>
      <c r="E24" s="7">
        <v>9.3500000000000007E-3</v>
      </c>
    </row>
    <row r="25" spans="1:5" x14ac:dyDescent="0.25">
      <c r="A25" s="210">
        <f t="shared" si="1"/>
        <v>2045</v>
      </c>
      <c r="B25" s="214">
        <f t="shared" si="0"/>
        <v>8.8684241249999997E-3</v>
      </c>
      <c r="D25" s="5" t="s">
        <v>86</v>
      </c>
      <c r="E25" s="7">
        <v>9.3500000000000007E-3</v>
      </c>
    </row>
    <row r="26" spans="1:5" s="36" customFormat="1" x14ac:dyDescent="0.25">
      <c r="A26" s="210">
        <f t="shared" si="1"/>
        <v>2046</v>
      </c>
      <c r="B26" s="214">
        <f t="shared" si="0"/>
        <v>8.8684241249999997E-3</v>
      </c>
      <c r="D26" s="5" t="s">
        <v>87</v>
      </c>
      <c r="E26" s="7">
        <v>9.3500000000000007E-3</v>
      </c>
    </row>
    <row r="27" spans="1:5" x14ac:dyDescent="0.25">
      <c r="A27" s="210">
        <f t="shared" si="1"/>
        <v>2047</v>
      </c>
      <c r="B27" s="214">
        <f t="shared" si="0"/>
        <v>8.8684241249999997E-3</v>
      </c>
      <c r="D27" s="5" t="s">
        <v>88</v>
      </c>
      <c r="E27" s="7">
        <v>9.3500000000000007E-3</v>
      </c>
    </row>
    <row r="28" spans="1:5" x14ac:dyDescent="0.25">
      <c r="A28" s="210">
        <f t="shared" si="1"/>
        <v>2048</v>
      </c>
      <c r="B28" s="214">
        <f t="shared" si="0"/>
        <v>8.8684241249999997E-3</v>
      </c>
      <c r="D28" s="5" t="s">
        <v>176</v>
      </c>
      <c r="E28" s="7">
        <v>9.3500000000000007E-3</v>
      </c>
    </row>
    <row r="29" spans="1:5" ht="14.45" customHeight="1" x14ac:dyDescent="0.25">
      <c r="A29" s="210">
        <f t="shared" si="1"/>
        <v>2049</v>
      </c>
      <c r="B29" s="214">
        <f t="shared" si="0"/>
        <v>8.8684241249999997E-3</v>
      </c>
      <c r="D29" s="5" t="s">
        <v>89</v>
      </c>
      <c r="E29" s="7">
        <v>9.3500000000000007E-3</v>
      </c>
    </row>
    <row r="30" spans="1:5" ht="14.45" customHeight="1" thickBot="1" x14ac:dyDescent="0.3">
      <c r="A30" s="207">
        <f t="shared" si="1"/>
        <v>2050</v>
      </c>
      <c r="B30" s="215">
        <f t="shared" si="0"/>
        <v>8.8684241249999997E-3</v>
      </c>
      <c r="D30" s="5" t="s">
        <v>90</v>
      </c>
      <c r="E30" s="7">
        <v>9.3500000000000007E-3</v>
      </c>
    </row>
    <row r="31" spans="1:5" ht="15" customHeight="1" x14ac:dyDescent="0.25">
      <c r="D31" s="5" t="s">
        <v>91</v>
      </c>
      <c r="E31" s="7">
        <v>9.3500000000000007E-3</v>
      </c>
    </row>
    <row r="32" spans="1:5" ht="15" customHeight="1" x14ac:dyDescent="0.25">
      <c r="D32" s="5" t="s">
        <v>92</v>
      </c>
      <c r="E32" s="7">
        <v>9.3500000000000007E-3</v>
      </c>
    </row>
    <row r="33" spans="4:54" x14ac:dyDescent="0.25">
      <c r="D33" s="5" t="s">
        <v>177</v>
      </c>
      <c r="E33" s="7">
        <v>9.3500000000000007E-3</v>
      </c>
    </row>
    <row r="34" spans="4:54" x14ac:dyDescent="0.25">
      <c r="D34" s="119" t="s">
        <v>93</v>
      </c>
      <c r="E34" s="7">
        <v>5.7000000000000002E-2</v>
      </c>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v>9.79936E-3</v>
      </c>
    </row>
    <row r="35" spans="4:54" x14ac:dyDescent="0.25">
      <c r="D35" s="135" t="s">
        <v>14</v>
      </c>
      <c r="E35" s="133">
        <f>AVERAGE(E3:E34)</f>
        <v>8.8684241249999997E-3</v>
      </c>
    </row>
  </sheetData>
  <mergeCells count="2">
    <mergeCell ref="A1:C3"/>
    <mergeCell ref="D1:E1"/>
  </mergeCells>
  <pageMargins left="0.7" right="0.7" top="0.75" bottom="0.75" header="0.3" footer="0.3"/>
  <pageSetup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FED0F-0F37-46F1-ABF4-19DADA28D9D0}">
  <dimension ref="A1:J235"/>
  <sheetViews>
    <sheetView view="pageBreakPreview" zoomScaleNormal="100" zoomScaleSheetLayoutView="100" workbookViewId="0">
      <selection activeCell="A4" sqref="A4"/>
    </sheetView>
  </sheetViews>
  <sheetFormatPr defaultRowHeight="15" x14ac:dyDescent="0.25"/>
  <cols>
    <col min="1" max="1" width="5" bestFit="1" customWidth="1"/>
    <col min="2" max="2" width="14.42578125" bestFit="1" customWidth="1"/>
    <col min="4" max="4" width="16.140625" bestFit="1" customWidth="1"/>
    <col min="5" max="5" width="12" bestFit="1" customWidth="1"/>
    <col min="6" max="6" width="21.140625" bestFit="1" customWidth="1"/>
    <col min="10" max="10" width="2.5703125" style="3" customWidth="1"/>
  </cols>
  <sheetData>
    <row r="1" spans="1:8" ht="21" customHeight="1" x14ac:dyDescent="0.25">
      <c r="A1" s="184" t="s">
        <v>118</v>
      </c>
      <c r="B1" s="184"/>
      <c r="C1" s="187"/>
      <c r="D1" s="188" t="s">
        <v>11</v>
      </c>
      <c r="E1" s="189"/>
      <c r="F1" s="190"/>
    </row>
    <row r="2" spans="1:8" ht="15" customHeight="1" x14ac:dyDescent="0.25">
      <c r="A2" s="184"/>
      <c r="B2" s="184"/>
      <c r="C2" s="187"/>
      <c r="D2" s="191"/>
      <c r="E2" s="192"/>
      <c r="F2" s="193"/>
    </row>
    <row r="3" spans="1:8" ht="15.75" customHeight="1" thickBot="1" x14ac:dyDescent="0.3">
      <c r="A3" s="184"/>
      <c r="B3" s="184"/>
      <c r="C3" s="187"/>
      <c r="D3" s="191"/>
      <c r="E3" s="192"/>
      <c r="F3" s="193"/>
    </row>
    <row r="4" spans="1:8" ht="15.75" customHeight="1" x14ac:dyDescent="0.25">
      <c r="A4" s="208"/>
      <c r="B4" s="209" t="s">
        <v>112</v>
      </c>
      <c r="D4" s="27" t="s">
        <v>13</v>
      </c>
      <c r="E4" s="20" t="s">
        <v>6</v>
      </c>
      <c r="F4" s="137"/>
      <c r="G4" s="137"/>
      <c r="H4" s="127"/>
    </row>
    <row r="5" spans="1:8" x14ac:dyDescent="0.25">
      <c r="A5" s="210">
        <f>'NEW FINAL CALCULATION '!A2</f>
        <v>2025</v>
      </c>
      <c r="B5" s="214">
        <f>$E$37/100</f>
        <v>4.4806874999999994E-3</v>
      </c>
      <c r="C5" s="36"/>
      <c r="D5" s="5" t="s">
        <v>67</v>
      </c>
      <c r="E5" s="7">
        <v>3.8E-3</v>
      </c>
      <c r="F5" s="137"/>
      <c r="G5" s="137"/>
      <c r="H5" s="127"/>
    </row>
    <row r="6" spans="1:8" x14ac:dyDescent="0.25">
      <c r="A6" s="210">
        <f>A5+1</f>
        <v>2026</v>
      </c>
      <c r="B6" s="214">
        <f t="shared" ref="B6:B30" si="0">$E$37/100</f>
        <v>4.4806874999999994E-3</v>
      </c>
      <c r="D6" s="5" t="s">
        <v>68</v>
      </c>
      <c r="E6" s="7">
        <v>3.8E-3</v>
      </c>
      <c r="F6" s="137"/>
      <c r="G6" s="137"/>
      <c r="H6" s="127"/>
    </row>
    <row r="7" spans="1:8" x14ac:dyDescent="0.25">
      <c r="A7" s="210">
        <f t="shared" ref="A7:A30" si="1">A6+1</f>
        <v>2027</v>
      </c>
      <c r="B7" s="214">
        <f t="shared" si="0"/>
        <v>4.4806874999999994E-3</v>
      </c>
      <c r="D7" s="5" t="s">
        <v>69</v>
      </c>
      <c r="E7" s="7">
        <v>3.8E-3</v>
      </c>
      <c r="F7" s="137"/>
      <c r="G7" s="137"/>
      <c r="H7" s="127"/>
    </row>
    <row r="8" spans="1:8" x14ac:dyDescent="0.25">
      <c r="A8" s="210">
        <f t="shared" si="1"/>
        <v>2028</v>
      </c>
      <c r="B8" s="214">
        <f t="shared" si="0"/>
        <v>4.4806874999999994E-3</v>
      </c>
      <c r="D8" s="5" t="s">
        <v>70</v>
      </c>
      <c r="E8" s="7">
        <v>3.8E-3</v>
      </c>
      <c r="F8" s="137"/>
      <c r="G8" s="137"/>
      <c r="H8" s="127"/>
    </row>
    <row r="9" spans="1:8" x14ac:dyDescent="0.25">
      <c r="A9" s="210">
        <f t="shared" si="1"/>
        <v>2029</v>
      </c>
      <c r="B9" s="214">
        <f t="shared" si="0"/>
        <v>4.4806874999999994E-3</v>
      </c>
      <c r="D9" s="5" t="s">
        <v>71</v>
      </c>
      <c r="E9" s="7">
        <v>3.8E-3</v>
      </c>
      <c r="F9" s="137"/>
      <c r="G9" s="137"/>
      <c r="H9" s="127"/>
    </row>
    <row r="10" spans="1:8" x14ac:dyDescent="0.25">
      <c r="A10" s="210">
        <f t="shared" si="1"/>
        <v>2030</v>
      </c>
      <c r="B10" s="214">
        <f t="shared" si="0"/>
        <v>4.4806874999999994E-3</v>
      </c>
      <c r="D10" s="5" t="s">
        <v>72</v>
      </c>
      <c r="E10" s="7">
        <v>3.8E-3</v>
      </c>
      <c r="F10" s="137"/>
      <c r="G10" s="137"/>
      <c r="H10" s="127"/>
    </row>
    <row r="11" spans="1:8" x14ac:dyDescent="0.25">
      <c r="A11" s="210">
        <f t="shared" si="1"/>
        <v>2031</v>
      </c>
      <c r="B11" s="214">
        <f t="shared" si="0"/>
        <v>4.4806874999999994E-3</v>
      </c>
      <c r="D11" s="5" t="s">
        <v>73</v>
      </c>
      <c r="E11" s="7">
        <v>3.8E-3</v>
      </c>
      <c r="F11" s="137"/>
      <c r="G11" s="137"/>
      <c r="H11" s="127"/>
    </row>
    <row r="12" spans="1:8" x14ac:dyDescent="0.25">
      <c r="A12" s="210">
        <f t="shared" si="1"/>
        <v>2032</v>
      </c>
      <c r="B12" s="214">
        <f t="shared" si="0"/>
        <v>4.4806874999999994E-3</v>
      </c>
      <c r="D12" s="5" t="s">
        <v>74</v>
      </c>
      <c r="E12" s="7">
        <v>3.8E-3</v>
      </c>
      <c r="F12" s="137"/>
      <c r="G12" s="137"/>
      <c r="H12" s="127"/>
    </row>
    <row r="13" spans="1:8" x14ac:dyDescent="0.25">
      <c r="A13" s="210">
        <f t="shared" si="1"/>
        <v>2033</v>
      </c>
      <c r="B13" s="214">
        <f t="shared" si="0"/>
        <v>4.4806874999999994E-3</v>
      </c>
      <c r="D13" s="5" t="s">
        <v>75</v>
      </c>
      <c r="E13" s="7">
        <v>3.8E-3</v>
      </c>
      <c r="F13" s="137"/>
      <c r="G13" s="137"/>
      <c r="H13" s="127"/>
    </row>
    <row r="14" spans="1:8" x14ac:dyDescent="0.25">
      <c r="A14" s="210">
        <f t="shared" si="1"/>
        <v>2034</v>
      </c>
      <c r="B14" s="214">
        <f t="shared" si="0"/>
        <v>4.4806874999999994E-3</v>
      </c>
      <c r="D14" s="5" t="s">
        <v>76</v>
      </c>
      <c r="E14" s="7">
        <v>3.8E-3</v>
      </c>
      <c r="F14" s="137"/>
      <c r="G14" s="137"/>
      <c r="H14" s="127"/>
    </row>
    <row r="15" spans="1:8" x14ac:dyDescent="0.25">
      <c r="A15" s="210">
        <f t="shared" si="1"/>
        <v>2035</v>
      </c>
      <c r="B15" s="214">
        <f t="shared" si="0"/>
        <v>4.4806874999999994E-3</v>
      </c>
      <c r="D15" s="5" t="s">
        <v>77</v>
      </c>
      <c r="E15" s="7">
        <v>3.8E-3</v>
      </c>
      <c r="F15" s="137"/>
      <c r="G15" s="137"/>
      <c r="H15" s="127"/>
    </row>
    <row r="16" spans="1:8" x14ac:dyDescent="0.25">
      <c r="A16" s="210">
        <f t="shared" si="1"/>
        <v>2036</v>
      </c>
      <c r="B16" s="214">
        <f t="shared" si="0"/>
        <v>4.4806874999999994E-3</v>
      </c>
      <c r="D16" s="5" t="s">
        <v>78</v>
      </c>
      <c r="E16" s="7">
        <v>3.8E-3</v>
      </c>
      <c r="F16" s="137"/>
      <c r="G16" s="137"/>
      <c r="H16" s="127"/>
    </row>
    <row r="17" spans="1:8" x14ac:dyDescent="0.25">
      <c r="A17" s="210">
        <f t="shared" si="1"/>
        <v>2037</v>
      </c>
      <c r="B17" s="214">
        <f t="shared" si="0"/>
        <v>4.4806874999999994E-3</v>
      </c>
      <c r="D17" s="5" t="s">
        <v>79</v>
      </c>
      <c r="E17" s="7">
        <v>3.8E-3</v>
      </c>
      <c r="F17" s="137"/>
      <c r="G17" s="137"/>
      <c r="H17" s="127"/>
    </row>
    <row r="18" spans="1:8" x14ac:dyDescent="0.25">
      <c r="A18" s="210">
        <f t="shared" si="1"/>
        <v>2038</v>
      </c>
      <c r="B18" s="214">
        <f t="shared" si="0"/>
        <v>4.4806874999999994E-3</v>
      </c>
      <c r="D18" s="5" t="s">
        <v>80</v>
      </c>
      <c r="E18" s="7">
        <v>3.8E-3</v>
      </c>
      <c r="F18" s="139"/>
      <c r="G18" s="139"/>
      <c r="H18" s="127"/>
    </row>
    <row r="19" spans="1:8" x14ac:dyDescent="0.25">
      <c r="A19" s="210">
        <f t="shared" si="1"/>
        <v>2039</v>
      </c>
      <c r="B19" s="214">
        <f t="shared" si="0"/>
        <v>4.4806874999999994E-3</v>
      </c>
      <c r="D19" s="5" t="s">
        <v>95</v>
      </c>
      <c r="E19" s="7">
        <v>0.84</v>
      </c>
      <c r="F19" s="139"/>
      <c r="G19" s="139"/>
      <c r="H19" s="127"/>
    </row>
    <row r="20" spans="1:8" x14ac:dyDescent="0.25">
      <c r="A20" s="210">
        <f t="shared" si="1"/>
        <v>2040</v>
      </c>
      <c r="B20" s="214">
        <f t="shared" si="0"/>
        <v>4.4806874999999994E-3</v>
      </c>
      <c r="D20" s="5" t="s">
        <v>96</v>
      </c>
      <c r="E20" s="7">
        <v>0.84</v>
      </c>
      <c r="F20" s="139"/>
      <c r="G20" s="139"/>
      <c r="H20" s="127"/>
    </row>
    <row r="21" spans="1:8" x14ac:dyDescent="0.25">
      <c r="A21" s="210">
        <f t="shared" si="1"/>
        <v>2041</v>
      </c>
      <c r="B21" s="214">
        <f t="shared" si="0"/>
        <v>4.4806874999999994E-3</v>
      </c>
      <c r="D21" s="5" t="s">
        <v>97</v>
      </c>
      <c r="E21" s="7">
        <v>0.84</v>
      </c>
      <c r="F21" s="139"/>
      <c r="G21" s="139"/>
      <c r="H21" s="127"/>
    </row>
    <row r="22" spans="1:8" x14ac:dyDescent="0.25">
      <c r="A22" s="210">
        <f t="shared" si="1"/>
        <v>2042</v>
      </c>
      <c r="B22" s="214">
        <f t="shared" si="0"/>
        <v>4.4806874999999994E-3</v>
      </c>
      <c r="D22" s="5" t="s">
        <v>98</v>
      </c>
      <c r="E22" s="7">
        <v>0.84</v>
      </c>
      <c r="F22" s="139"/>
      <c r="G22" s="139"/>
      <c r="H22" s="127"/>
    </row>
    <row r="23" spans="1:8" x14ac:dyDescent="0.25">
      <c r="A23" s="210">
        <f t="shared" si="1"/>
        <v>2043</v>
      </c>
      <c r="B23" s="214">
        <f t="shared" si="0"/>
        <v>4.4806874999999994E-3</v>
      </c>
      <c r="D23" s="5" t="s">
        <v>99</v>
      </c>
      <c r="E23" s="7">
        <v>0.84</v>
      </c>
      <c r="F23" s="139"/>
      <c r="G23" s="139"/>
      <c r="H23" s="127"/>
    </row>
    <row r="24" spans="1:8" x14ac:dyDescent="0.25">
      <c r="A24" s="210">
        <f t="shared" si="1"/>
        <v>2044</v>
      </c>
      <c r="B24" s="214">
        <f t="shared" si="0"/>
        <v>4.4806874999999994E-3</v>
      </c>
      <c r="D24" s="5" t="s">
        <v>100</v>
      </c>
      <c r="E24" s="7">
        <v>0.84</v>
      </c>
      <c r="F24" s="139"/>
      <c r="G24" s="139"/>
      <c r="H24" s="127"/>
    </row>
    <row r="25" spans="1:8" x14ac:dyDescent="0.25">
      <c r="A25" s="210">
        <f t="shared" si="1"/>
        <v>2045</v>
      </c>
      <c r="B25" s="214">
        <f t="shared" si="0"/>
        <v>4.4806874999999994E-3</v>
      </c>
      <c r="D25" s="5" t="s">
        <v>101</v>
      </c>
      <c r="E25" s="7">
        <v>0.84</v>
      </c>
      <c r="F25" s="139"/>
      <c r="G25" s="139"/>
      <c r="H25" s="127"/>
    </row>
    <row r="26" spans="1:8" x14ac:dyDescent="0.25">
      <c r="A26" s="210">
        <f t="shared" si="1"/>
        <v>2046</v>
      </c>
      <c r="B26" s="214">
        <f t="shared" si="0"/>
        <v>4.4806874999999994E-3</v>
      </c>
      <c r="D26" s="5" t="s">
        <v>102</v>
      </c>
      <c r="E26" s="7">
        <v>0.84</v>
      </c>
      <c r="F26" s="139"/>
      <c r="G26" s="139"/>
      <c r="H26" s="127"/>
    </row>
    <row r="27" spans="1:8" x14ac:dyDescent="0.25">
      <c r="A27" s="210">
        <f t="shared" si="1"/>
        <v>2047</v>
      </c>
      <c r="B27" s="214">
        <f t="shared" si="0"/>
        <v>4.4806874999999994E-3</v>
      </c>
      <c r="D27" s="5" t="s">
        <v>103</v>
      </c>
      <c r="E27" s="7">
        <v>0.84</v>
      </c>
      <c r="F27" s="139"/>
      <c r="G27" s="139"/>
      <c r="H27" s="127"/>
    </row>
    <row r="28" spans="1:8" x14ac:dyDescent="0.25">
      <c r="A28" s="210">
        <f t="shared" si="1"/>
        <v>2048</v>
      </c>
      <c r="B28" s="214">
        <f t="shared" si="0"/>
        <v>4.4806874999999994E-3</v>
      </c>
      <c r="D28" s="5" t="s">
        <v>85</v>
      </c>
      <c r="E28" s="7">
        <v>0.84</v>
      </c>
      <c r="F28" s="139"/>
      <c r="G28" s="139"/>
      <c r="H28" s="127"/>
    </row>
    <row r="29" spans="1:8" x14ac:dyDescent="0.25">
      <c r="A29" s="210">
        <f t="shared" si="1"/>
        <v>2049</v>
      </c>
      <c r="B29" s="214">
        <f t="shared" si="0"/>
        <v>4.4806874999999994E-3</v>
      </c>
      <c r="D29" s="5" t="s">
        <v>86</v>
      </c>
      <c r="E29" s="7">
        <v>0.84</v>
      </c>
      <c r="F29" s="139"/>
      <c r="G29" s="139"/>
      <c r="H29" s="127"/>
    </row>
    <row r="30" spans="1:8" ht="15.75" thickBot="1" x14ac:dyDescent="0.3">
      <c r="A30" s="207">
        <f t="shared" si="1"/>
        <v>2050</v>
      </c>
      <c r="B30" s="215">
        <f t="shared" si="0"/>
        <v>4.4806874999999994E-3</v>
      </c>
      <c r="D30" s="5" t="s">
        <v>87</v>
      </c>
      <c r="E30" s="7">
        <v>0.84</v>
      </c>
      <c r="F30" s="139"/>
      <c r="G30" s="139"/>
      <c r="H30" s="127"/>
    </row>
    <row r="31" spans="1:8" x14ac:dyDescent="0.25">
      <c r="D31" s="5" t="s">
        <v>88</v>
      </c>
      <c r="E31" s="7">
        <v>0.84</v>
      </c>
      <c r="F31" s="139"/>
      <c r="G31" s="139"/>
      <c r="H31" s="127"/>
    </row>
    <row r="32" spans="1:8" x14ac:dyDescent="0.25">
      <c r="D32" s="5" t="s">
        <v>89</v>
      </c>
      <c r="E32" s="7">
        <v>0.84</v>
      </c>
      <c r="F32" s="139"/>
      <c r="G32" s="139"/>
      <c r="H32" s="127"/>
    </row>
    <row r="33" spans="4:8" x14ac:dyDescent="0.25">
      <c r="D33" s="5" t="s">
        <v>90</v>
      </c>
      <c r="E33" s="7">
        <v>0.84</v>
      </c>
      <c r="F33" s="139"/>
      <c r="G33" s="139"/>
      <c r="H33" s="127"/>
    </row>
    <row r="34" spans="4:8" x14ac:dyDescent="0.25">
      <c r="D34" s="5" t="s">
        <v>91</v>
      </c>
      <c r="E34" s="7">
        <v>0.84</v>
      </c>
      <c r="F34" s="139"/>
      <c r="G34" s="139"/>
      <c r="H34" s="127"/>
    </row>
    <row r="35" spans="4:8" x14ac:dyDescent="0.25">
      <c r="D35" s="5" t="s">
        <v>92</v>
      </c>
      <c r="E35" s="7">
        <v>0.84</v>
      </c>
      <c r="F35" s="139"/>
      <c r="G35" s="139"/>
      <c r="H35" s="127"/>
    </row>
    <row r="36" spans="4:8" ht="15.75" thickBot="1" x14ac:dyDescent="0.3">
      <c r="D36" s="21" t="s">
        <v>104</v>
      </c>
      <c r="E36" s="9">
        <v>5.0000000000000001E-3</v>
      </c>
      <c r="F36" s="139"/>
      <c r="G36" s="139"/>
      <c r="H36" s="127"/>
    </row>
    <row r="37" spans="4:8" ht="15.75" thickBot="1" x14ac:dyDescent="0.3">
      <c r="D37" s="22" t="s">
        <v>14</v>
      </c>
      <c r="E37" s="23">
        <f>AVERAGE(E5:E36)</f>
        <v>0.44806874999999996</v>
      </c>
      <c r="F37" s="139"/>
      <c r="G37" s="139"/>
      <c r="H37" s="127"/>
    </row>
    <row r="38" spans="4:8" x14ac:dyDescent="0.25">
      <c r="F38" s="139"/>
      <c r="G38" s="139"/>
      <c r="H38" s="127"/>
    </row>
    <row r="39" spans="4:8" x14ac:dyDescent="0.25">
      <c r="F39" s="139"/>
      <c r="G39" s="139"/>
      <c r="H39" s="127"/>
    </row>
    <row r="40" spans="4:8" x14ac:dyDescent="0.25">
      <c r="F40" s="139"/>
      <c r="G40" s="139"/>
      <c r="H40" s="127"/>
    </row>
    <row r="41" spans="4:8" x14ac:dyDescent="0.25">
      <c r="F41" s="139"/>
      <c r="G41" s="139"/>
      <c r="H41" s="127"/>
    </row>
    <row r="42" spans="4:8" x14ac:dyDescent="0.25">
      <c r="F42" s="139"/>
      <c r="G42" s="139"/>
      <c r="H42" s="127"/>
    </row>
    <row r="43" spans="4:8" x14ac:dyDescent="0.25">
      <c r="F43" s="139"/>
      <c r="G43" s="139"/>
      <c r="H43" s="127"/>
    </row>
    <row r="44" spans="4:8" x14ac:dyDescent="0.25">
      <c r="F44" s="139"/>
      <c r="G44" s="139"/>
      <c r="H44" s="127"/>
    </row>
    <row r="45" spans="4:8" x14ac:dyDescent="0.25">
      <c r="F45" s="139"/>
      <c r="G45" s="139"/>
      <c r="H45" s="127"/>
    </row>
    <row r="46" spans="4:8" x14ac:dyDescent="0.25">
      <c r="F46" s="139"/>
      <c r="G46" s="139"/>
      <c r="H46" s="127"/>
    </row>
    <row r="47" spans="4:8" x14ac:dyDescent="0.25">
      <c r="F47" s="139"/>
      <c r="G47" s="139"/>
      <c r="H47" s="127"/>
    </row>
    <row r="48" spans="4:8" x14ac:dyDescent="0.25">
      <c r="F48" s="139"/>
      <c r="G48" s="139"/>
      <c r="H48" s="127"/>
    </row>
    <row r="49" spans="6:8" x14ac:dyDescent="0.25">
      <c r="F49" s="139"/>
      <c r="G49" s="139"/>
      <c r="H49" s="127"/>
    </row>
    <row r="50" spans="6:8" x14ac:dyDescent="0.25">
      <c r="F50" s="139"/>
      <c r="G50" s="139"/>
      <c r="H50" s="127"/>
    </row>
    <row r="51" spans="6:8" x14ac:dyDescent="0.25">
      <c r="F51" s="139"/>
      <c r="G51" s="139"/>
      <c r="H51" s="127"/>
    </row>
    <row r="52" spans="6:8" x14ac:dyDescent="0.25">
      <c r="F52" s="139"/>
      <c r="G52" s="139"/>
      <c r="H52" s="127"/>
    </row>
    <row r="53" spans="6:8" x14ac:dyDescent="0.25">
      <c r="F53" s="139"/>
      <c r="G53" s="139"/>
      <c r="H53" s="127"/>
    </row>
    <row r="54" spans="6:8" x14ac:dyDescent="0.25">
      <c r="F54" s="139"/>
      <c r="G54" s="139"/>
      <c r="H54" s="127"/>
    </row>
    <row r="55" spans="6:8" x14ac:dyDescent="0.25">
      <c r="F55" s="139"/>
      <c r="G55" s="139"/>
      <c r="H55" s="127"/>
    </row>
    <row r="56" spans="6:8" x14ac:dyDescent="0.25">
      <c r="F56" s="139"/>
      <c r="G56" s="139"/>
      <c r="H56" s="127"/>
    </row>
    <row r="57" spans="6:8" x14ac:dyDescent="0.25">
      <c r="F57" s="139"/>
      <c r="G57" s="139"/>
      <c r="H57" s="127"/>
    </row>
    <row r="58" spans="6:8" x14ac:dyDescent="0.25">
      <c r="F58" s="139"/>
      <c r="G58" s="139"/>
      <c r="H58" s="127"/>
    </row>
    <row r="59" spans="6:8" x14ac:dyDescent="0.25">
      <c r="F59" s="139"/>
      <c r="G59" s="139"/>
      <c r="H59" s="127"/>
    </row>
    <row r="60" spans="6:8" x14ac:dyDescent="0.25">
      <c r="F60" s="139"/>
      <c r="G60" s="139"/>
      <c r="H60" s="127"/>
    </row>
    <row r="61" spans="6:8" x14ac:dyDescent="0.25">
      <c r="F61" s="139"/>
      <c r="G61" s="139"/>
      <c r="H61" s="127"/>
    </row>
    <row r="62" spans="6:8" x14ac:dyDescent="0.25">
      <c r="F62" s="139"/>
      <c r="G62" s="139"/>
      <c r="H62" s="127"/>
    </row>
    <row r="63" spans="6:8" x14ac:dyDescent="0.25">
      <c r="F63" s="139"/>
      <c r="G63" s="139"/>
      <c r="H63" s="127"/>
    </row>
    <row r="64" spans="6:8" x14ac:dyDescent="0.25">
      <c r="F64" s="139"/>
      <c r="G64" s="139"/>
      <c r="H64" s="127"/>
    </row>
    <row r="65" spans="6:8" x14ac:dyDescent="0.25">
      <c r="F65" s="139"/>
      <c r="G65" s="139"/>
      <c r="H65" s="127"/>
    </row>
    <row r="66" spans="6:8" x14ac:dyDescent="0.25">
      <c r="F66" s="139"/>
      <c r="G66" s="139"/>
      <c r="H66" s="127"/>
    </row>
    <row r="67" spans="6:8" x14ac:dyDescent="0.25">
      <c r="F67" s="139"/>
      <c r="G67" s="139"/>
      <c r="H67" s="127"/>
    </row>
    <row r="68" spans="6:8" x14ac:dyDescent="0.25">
      <c r="F68" s="139"/>
      <c r="G68" s="139"/>
      <c r="H68" s="127"/>
    </row>
    <row r="69" spans="6:8" x14ac:dyDescent="0.25">
      <c r="F69" s="139"/>
      <c r="G69" s="139"/>
      <c r="H69" s="127"/>
    </row>
    <row r="70" spans="6:8" x14ac:dyDescent="0.25">
      <c r="F70" s="139"/>
      <c r="G70" s="139"/>
      <c r="H70" s="127"/>
    </row>
    <row r="71" spans="6:8" x14ac:dyDescent="0.25">
      <c r="F71" s="139"/>
      <c r="G71" s="139"/>
      <c r="H71" s="124"/>
    </row>
    <row r="72" spans="6:8" x14ac:dyDescent="0.25">
      <c r="F72" s="139"/>
      <c r="G72" s="139"/>
      <c r="H72" s="124"/>
    </row>
    <row r="73" spans="6:8" x14ac:dyDescent="0.25">
      <c r="F73" s="139"/>
      <c r="G73" s="139"/>
      <c r="H73" s="124"/>
    </row>
    <row r="74" spans="6:8" x14ac:dyDescent="0.25">
      <c r="F74" s="139"/>
      <c r="G74" s="139"/>
      <c r="H74" s="124"/>
    </row>
    <row r="75" spans="6:8" x14ac:dyDescent="0.25">
      <c r="F75" s="139"/>
      <c r="G75" s="139"/>
      <c r="H75" s="124"/>
    </row>
    <row r="76" spans="6:8" x14ac:dyDescent="0.25">
      <c r="F76" s="139"/>
      <c r="G76" s="139"/>
      <c r="H76" s="124"/>
    </row>
    <row r="77" spans="6:8" x14ac:dyDescent="0.25">
      <c r="F77" s="139"/>
      <c r="G77" s="139"/>
      <c r="H77" s="124"/>
    </row>
    <row r="78" spans="6:8" x14ac:dyDescent="0.25">
      <c r="F78" s="139"/>
      <c r="G78" s="139"/>
      <c r="H78" s="124"/>
    </row>
    <row r="79" spans="6:8" x14ac:dyDescent="0.25">
      <c r="F79" s="139"/>
      <c r="G79" s="138"/>
      <c r="H79" s="124"/>
    </row>
    <row r="80" spans="6:8" x14ac:dyDescent="0.25">
      <c r="F80" s="139"/>
      <c r="G80" s="138"/>
      <c r="H80" s="124"/>
    </row>
    <row r="81" spans="6:8" x14ac:dyDescent="0.25">
      <c r="F81" s="139"/>
      <c r="G81" s="138"/>
      <c r="H81" s="124"/>
    </row>
    <row r="82" spans="6:8" x14ac:dyDescent="0.25">
      <c r="F82" s="139"/>
      <c r="G82" s="138"/>
      <c r="H82" s="124"/>
    </row>
    <row r="83" spans="6:8" x14ac:dyDescent="0.25">
      <c r="F83" s="139"/>
      <c r="G83" s="138"/>
      <c r="H83" s="124"/>
    </row>
    <row r="84" spans="6:8" x14ac:dyDescent="0.25">
      <c r="F84" s="139"/>
      <c r="G84" s="138"/>
      <c r="H84" s="124"/>
    </row>
    <row r="85" spans="6:8" x14ac:dyDescent="0.25">
      <c r="F85" s="139"/>
      <c r="G85" s="138"/>
      <c r="H85" s="124"/>
    </row>
    <row r="86" spans="6:8" x14ac:dyDescent="0.25">
      <c r="F86" s="139"/>
      <c r="G86" s="138"/>
      <c r="H86" s="124"/>
    </row>
    <row r="87" spans="6:8" x14ac:dyDescent="0.25">
      <c r="F87" s="139"/>
      <c r="G87" s="138"/>
      <c r="H87" s="127"/>
    </row>
    <row r="88" spans="6:8" x14ac:dyDescent="0.25">
      <c r="F88" s="139"/>
      <c r="G88" s="138"/>
      <c r="H88" s="127"/>
    </row>
    <row r="89" spans="6:8" x14ac:dyDescent="0.25">
      <c r="F89" s="139"/>
      <c r="G89" s="138"/>
      <c r="H89" s="127"/>
    </row>
    <row r="90" spans="6:8" x14ac:dyDescent="0.25">
      <c r="F90" s="139"/>
      <c r="G90" s="138"/>
      <c r="H90" s="127"/>
    </row>
    <row r="91" spans="6:8" x14ac:dyDescent="0.25">
      <c r="F91" s="139"/>
      <c r="G91" s="138"/>
      <c r="H91" s="127"/>
    </row>
    <row r="92" spans="6:8" x14ac:dyDescent="0.25">
      <c r="F92" s="139"/>
      <c r="G92" s="138"/>
      <c r="H92" s="127"/>
    </row>
    <row r="93" spans="6:8" x14ac:dyDescent="0.25">
      <c r="F93" s="139"/>
      <c r="G93" s="138"/>
      <c r="H93" s="127"/>
    </row>
    <row r="94" spans="6:8" x14ac:dyDescent="0.25">
      <c r="F94" s="139"/>
      <c r="G94" s="138"/>
      <c r="H94" s="127"/>
    </row>
    <row r="95" spans="6:8" x14ac:dyDescent="0.25">
      <c r="F95" s="139"/>
      <c r="G95" s="139"/>
      <c r="H95" s="127"/>
    </row>
    <row r="96" spans="6:8" x14ac:dyDescent="0.25">
      <c r="F96" s="139"/>
      <c r="G96" s="139"/>
      <c r="H96" s="127"/>
    </row>
    <row r="97" spans="6:8" x14ac:dyDescent="0.25">
      <c r="F97" s="139"/>
      <c r="G97" s="139"/>
      <c r="H97" s="127"/>
    </row>
    <row r="98" spans="6:8" x14ac:dyDescent="0.25">
      <c r="F98" s="139"/>
      <c r="G98" s="139"/>
      <c r="H98" s="127"/>
    </row>
    <row r="99" spans="6:8" x14ac:dyDescent="0.25">
      <c r="F99" s="139"/>
      <c r="G99" s="139"/>
      <c r="H99" s="127"/>
    </row>
    <row r="100" spans="6:8" x14ac:dyDescent="0.25">
      <c r="F100" s="139"/>
      <c r="G100" s="139"/>
      <c r="H100" s="127"/>
    </row>
    <row r="101" spans="6:8" x14ac:dyDescent="0.25">
      <c r="F101" s="139"/>
      <c r="G101" s="139"/>
      <c r="H101" s="127"/>
    </row>
    <row r="102" spans="6:8" x14ac:dyDescent="0.25">
      <c r="F102" s="139"/>
      <c r="G102" s="139"/>
      <c r="H102" s="127"/>
    </row>
    <row r="103" spans="6:8" x14ac:dyDescent="0.25">
      <c r="F103" s="139"/>
      <c r="G103" s="139"/>
      <c r="H103" s="127"/>
    </row>
    <row r="104" spans="6:8" x14ac:dyDescent="0.25">
      <c r="F104" s="139"/>
      <c r="G104" s="139"/>
      <c r="H104" s="127"/>
    </row>
    <row r="105" spans="6:8" x14ac:dyDescent="0.25">
      <c r="F105" s="139"/>
      <c r="G105" s="139"/>
      <c r="H105" s="127"/>
    </row>
    <row r="106" spans="6:8" x14ac:dyDescent="0.25">
      <c r="F106" s="139"/>
      <c r="G106" s="139"/>
      <c r="H106" s="127"/>
    </row>
    <row r="107" spans="6:8" x14ac:dyDescent="0.25">
      <c r="F107" s="139"/>
      <c r="G107" s="139"/>
      <c r="H107" s="127"/>
    </row>
    <row r="108" spans="6:8" x14ac:dyDescent="0.25">
      <c r="F108" s="139"/>
      <c r="G108" s="139"/>
      <c r="H108" s="127"/>
    </row>
    <row r="109" spans="6:8" x14ac:dyDescent="0.25">
      <c r="F109" s="139"/>
      <c r="G109" s="139"/>
      <c r="H109" s="127"/>
    </row>
    <row r="110" spans="6:8" x14ac:dyDescent="0.25">
      <c r="F110" s="139"/>
      <c r="G110" s="139"/>
      <c r="H110" s="127"/>
    </row>
    <row r="111" spans="6:8" x14ac:dyDescent="0.25">
      <c r="F111" s="139"/>
      <c r="G111" s="139"/>
      <c r="H111" s="127"/>
    </row>
    <row r="112" spans="6:8" x14ac:dyDescent="0.25">
      <c r="F112" s="139"/>
      <c r="G112" s="139"/>
      <c r="H112" s="127"/>
    </row>
    <row r="113" spans="6:8" x14ac:dyDescent="0.25">
      <c r="F113" s="139"/>
      <c r="G113" s="139"/>
      <c r="H113" s="127"/>
    </row>
    <row r="114" spans="6:8" x14ac:dyDescent="0.25">
      <c r="F114" s="139"/>
      <c r="G114" s="139"/>
      <c r="H114" s="127"/>
    </row>
    <row r="115" spans="6:8" x14ac:dyDescent="0.25">
      <c r="F115" s="139"/>
      <c r="G115" s="139"/>
      <c r="H115" s="127"/>
    </row>
    <row r="116" spans="6:8" x14ac:dyDescent="0.25">
      <c r="F116" s="139"/>
      <c r="G116" s="139"/>
      <c r="H116" s="127"/>
    </row>
    <row r="117" spans="6:8" x14ac:dyDescent="0.25">
      <c r="F117" s="139"/>
      <c r="G117" s="139"/>
      <c r="H117" s="127"/>
    </row>
    <row r="118" spans="6:8" x14ac:dyDescent="0.25">
      <c r="F118" s="139"/>
      <c r="G118" s="139"/>
      <c r="H118" s="127"/>
    </row>
    <row r="119" spans="6:8" x14ac:dyDescent="0.25">
      <c r="F119" s="139"/>
      <c r="G119" s="139"/>
      <c r="H119" s="127"/>
    </row>
    <row r="120" spans="6:8" x14ac:dyDescent="0.25">
      <c r="F120" s="139"/>
      <c r="G120" s="139"/>
      <c r="H120" s="127"/>
    </row>
    <row r="121" spans="6:8" x14ac:dyDescent="0.25">
      <c r="F121" s="139"/>
      <c r="G121" s="139"/>
      <c r="H121" s="127"/>
    </row>
    <row r="122" spans="6:8" x14ac:dyDescent="0.25">
      <c r="F122" s="139"/>
      <c r="G122" s="139"/>
      <c r="H122" s="127"/>
    </row>
    <row r="123" spans="6:8" x14ac:dyDescent="0.25">
      <c r="F123" s="139"/>
      <c r="G123" s="139"/>
      <c r="H123" s="127"/>
    </row>
    <row r="124" spans="6:8" x14ac:dyDescent="0.25">
      <c r="F124" s="139"/>
      <c r="G124" s="139"/>
      <c r="H124" s="127"/>
    </row>
    <row r="125" spans="6:8" x14ac:dyDescent="0.25">
      <c r="F125" s="139"/>
      <c r="G125" s="139"/>
      <c r="H125" s="127"/>
    </row>
    <row r="126" spans="6:8" x14ac:dyDescent="0.25">
      <c r="F126" s="139"/>
      <c r="G126" s="139"/>
      <c r="H126" s="127"/>
    </row>
    <row r="127" spans="6:8" x14ac:dyDescent="0.25">
      <c r="F127" s="139"/>
      <c r="G127" s="139"/>
      <c r="H127" s="127"/>
    </row>
    <row r="128" spans="6:8" x14ac:dyDescent="0.25">
      <c r="F128" s="139"/>
      <c r="G128" s="139"/>
      <c r="H128" s="127"/>
    </row>
    <row r="129" spans="6:8" x14ac:dyDescent="0.25">
      <c r="F129" s="139"/>
      <c r="G129" s="139"/>
      <c r="H129" s="127"/>
    </row>
    <row r="130" spans="6:8" x14ac:dyDescent="0.25">
      <c r="F130" s="139"/>
      <c r="G130" s="139"/>
      <c r="H130" s="127"/>
    </row>
    <row r="131" spans="6:8" x14ac:dyDescent="0.25">
      <c r="F131" s="139"/>
      <c r="G131" s="139"/>
      <c r="H131" s="127"/>
    </row>
    <row r="132" spans="6:8" x14ac:dyDescent="0.25">
      <c r="F132" s="137"/>
      <c r="G132" s="137"/>
      <c r="H132" s="127"/>
    </row>
    <row r="133" spans="6:8" x14ac:dyDescent="0.25">
      <c r="F133" s="137"/>
      <c r="G133" s="137"/>
      <c r="H133" s="127"/>
    </row>
    <row r="134" spans="6:8" x14ac:dyDescent="0.25">
      <c r="F134" s="137"/>
      <c r="G134" s="137"/>
      <c r="H134" s="127"/>
    </row>
    <row r="135" spans="6:8" x14ac:dyDescent="0.25">
      <c r="F135" s="137"/>
      <c r="G135" s="137"/>
      <c r="H135" s="124"/>
    </row>
    <row r="136" spans="6:8" x14ac:dyDescent="0.25">
      <c r="F136" s="137"/>
      <c r="G136" s="137"/>
      <c r="H136" s="124"/>
    </row>
    <row r="137" spans="6:8" x14ac:dyDescent="0.25">
      <c r="F137" s="137"/>
      <c r="G137" s="137"/>
      <c r="H137" s="124"/>
    </row>
    <row r="138" spans="6:8" x14ac:dyDescent="0.25">
      <c r="F138" s="137"/>
      <c r="G138" s="137"/>
      <c r="H138" s="124"/>
    </row>
    <row r="139" spans="6:8" x14ac:dyDescent="0.25">
      <c r="F139" s="137"/>
      <c r="G139" s="137"/>
      <c r="H139" s="124"/>
    </row>
    <row r="140" spans="6:8" x14ac:dyDescent="0.25">
      <c r="F140" s="137"/>
      <c r="G140" s="137"/>
      <c r="H140" s="124"/>
    </row>
    <row r="141" spans="6:8" x14ac:dyDescent="0.25">
      <c r="F141" s="137"/>
      <c r="G141" s="137"/>
      <c r="H141" s="124"/>
    </row>
    <row r="142" spans="6:8" x14ac:dyDescent="0.25">
      <c r="F142" s="137"/>
      <c r="G142" s="137"/>
      <c r="H142" s="124"/>
    </row>
    <row r="143" spans="6:8" x14ac:dyDescent="0.25">
      <c r="F143" s="137"/>
      <c r="G143" s="137"/>
      <c r="H143" s="124"/>
    </row>
    <row r="144" spans="6:8" x14ac:dyDescent="0.25">
      <c r="F144" s="137"/>
      <c r="G144" s="137"/>
      <c r="H144" s="124"/>
    </row>
    <row r="145" spans="6:8" x14ac:dyDescent="0.25">
      <c r="F145" s="137"/>
      <c r="G145" s="137"/>
      <c r="H145" s="124"/>
    </row>
    <row r="146" spans="6:8" x14ac:dyDescent="0.25">
      <c r="F146" s="137"/>
      <c r="G146" s="137"/>
      <c r="H146" s="124"/>
    </row>
    <row r="147" spans="6:8" x14ac:dyDescent="0.25">
      <c r="F147" s="137"/>
      <c r="G147" s="137"/>
      <c r="H147" s="124"/>
    </row>
    <row r="148" spans="6:8" x14ac:dyDescent="0.25">
      <c r="F148" s="137"/>
      <c r="G148" s="132"/>
      <c r="H148" s="124"/>
    </row>
    <row r="149" spans="6:8" x14ac:dyDescent="0.25">
      <c r="F149" s="137"/>
      <c r="G149" s="132"/>
      <c r="H149" s="124"/>
    </row>
    <row r="150" spans="6:8" x14ac:dyDescent="0.25">
      <c r="F150" s="137"/>
      <c r="G150" s="132"/>
      <c r="H150" s="124"/>
    </row>
    <row r="151" spans="6:8" x14ac:dyDescent="0.25">
      <c r="F151" s="137"/>
      <c r="G151" s="132"/>
      <c r="H151" s="124"/>
    </row>
    <row r="152" spans="6:8" x14ac:dyDescent="0.25">
      <c r="F152" s="137"/>
      <c r="G152" s="132"/>
      <c r="H152" s="124"/>
    </row>
    <row r="153" spans="6:8" x14ac:dyDescent="0.25">
      <c r="F153" s="137"/>
      <c r="G153" s="132"/>
      <c r="H153" s="124"/>
    </row>
    <row r="154" spans="6:8" x14ac:dyDescent="0.25">
      <c r="F154" s="137"/>
      <c r="G154" s="132"/>
      <c r="H154" s="124"/>
    </row>
    <row r="155" spans="6:8" x14ac:dyDescent="0.25">
      <c r="F155" s="137"/>
      <c r="G155" s="132"/>
      <c r="H155" s="124"/>
    </row>
    <row r="156" spans="6:8" x14ac:dyDescent="0.25">
      <c r="F156" s="137"/>
      <c r="G156" s="132"/>
      <c r="H156" s="124"/>
    </row>
    <row r="157" spans="6:8" x14ac:dyDescent="0.25">
      <c r="F157" s="137"/>
      <c r="G157" s="132"/>
      <c r="H157" s="124"/>
    </row>
    <row r="158" spans="6:8" x14ac:dyDescent="0.25">
      <c r="F158" s="137"/>
      <c r="G158" s="132"/>
      <c r="H158" s="124"/>
    </row>
    <row r="159" spans="6:8" x14ac:dyDescent="0.25">
      <c r="F159" s="137"/>
      <c r="G159" s="132"/>
    </row>
    <row r="160" spans="6:8" x14ac:dyDescent="0.25">
      <c r="F160" s="137"/>
      <c r="G160" s="132"/>
    </row>
    <row r="161" spans="6:7" x14ac:dyDescent="0.25">
      <c r="F161" s="137"/>
      <c r="G161" s="132"/>
    </row>
    <row r="162" spans="6:7" x14ac:dyDescent="0.25">
      <c r="F162" s="137"/>
      <c r="G162" s="132"/>
    </row>
    <row r="163" spans="6:7" x14ac:dyDescent="0.25">
      <c r="F163" s="137"/>
      <c r="G163" s="132"/>
    </row>
    <row r="164" spans="6:7" x14ac:dyDescent="0.25">
      <c r="F164" s="137"/>
      <c r="G164" s="137"/>
    </row>
    <row r="165" spans="6:7" x14ac:dyDescent="0.25">
      <c r="F165" s="137"/>
      <c r="G165" s="137"/>
    </row>
    <row r="166" spans="6:7" x14ac:dyDescent="0.25">
      <c r="F166" s="137"/>
      <c r="G166" s="137"/>
    </row>
    <row r="167" spans="6:7" x14ac:dyDescent="0.25">
      <c r="F167" s="137"/>
      <c r="G167" s="137"/>
    </row>
    <row r="168" spans="6:7" x14ac:dyDescent="0.25">
      <c r="F168" s="137"/>
      <c r="G168" s="137"/>
    </row>
    <row r="169" spans="6:7" x14ac:dyDescent="0.25">
      <c r="F169" s="137"/>
      <c r="G169" s="137"/>
    </row>
    <row r="170" spans="6:7" x14ac:dyDescent="0.25">
      <c r="F170" s="137"/>
      <c r="G170" s="137"/>
    </row>
    <row r="171" spans="6:7" x14ac:dyDescent="0.25">
      <c r="F171" s="137"/>
      <c r="G171" s="137"/>
    </row>
    <row r="172" spans="6:7" x14ac:dyDescent="0.25">
      <c r="F172" s="137"/>
      <c r="G172" s="137"/>
    </row>
    <row r="173" spans="6:7" x14ac:dyDescent="0.25">
      <c r="F173" s="137"/>
      <c r="G173" s="137"/>
    </row>
    <row r="174" spans="6:7" x14ac:dyDescent="0.25">
      <c r="F174" s="137"/>
      <c r="G174" s="137"/>
    </row>
    <row r="175" spans="6:7" x14ac:dyDescent="0.25">
      <c r="F175" s="137"/>
      <c r="G175" s="137"/>
    </row>
    <row r="176" spans="6:7" x14ac:dyDescent="0.25">
      <c r="F176" s="137"/>
      <c r="G176" s="137"/>
    </row>
    <row r="177" spans="6:7" x14ac:dyDescent="0.25">
      <c r="F177" s="137"/>
      <c r="G177" s="137"/>
    </row>
    <row r="178" spans="6:7" x14ac:dyDescent="0.25">
      <c r="F178" s="137"/>
      <c r="G178" s="137"/>
    </row>
    <row r="179" spans="6:7" x14ac:dyDescent="0.25">
      <c r="F179" s="137"/>
      <c r="G179" s="137"/>
    </row>
    <row r="180" spans="6:7" x14ac:dyDescent="0.25">
      <c r="F180" s="137"/>
      <c r="G180" s="137"/>
    </row>
    <row r="181" spans="6:7" x14ac:dyDescent="0.25">
      <c r="F181" s="137"/>
      <c r="G181" s="137"/>
    </row>
    <row r="182" spans="6:7" x14ac:dyDescent="0.25">
      <c r="F182" s="137"/>
      <c r="G182" s="137"/>
    </row>
    <row r="183" spans="6:7" x14ac:dyDescent="0.25">
      <c r="F183" s="137"/>
      <c r="G183" s="137"/>
    </row>
    <row r="184" spans="6:7" x14ac:dyDescent="0.25">
      <c r="F184" s="137"/>
      <c r="G184" s="137"/>
    </row>
    <row r="185" spans="6:7" x14ac:dyDescent="0.25">
      <c r="F185" s="137"/>
      <c r="G185" s="137"/>
    </row>
    <row r="186" spans="6:7" x14ac:dyDescent="0.25">
      <c r="F186" s="137"/>
      <c r="G186" s="137"/>
    </row>
    <row r="187" spans="6:7" x14ac:dyDescent="0.25">
      <c r="F187" s="137"/>
      <c r="G187" s="137"/>
    </row>
    <row r="188" spans="6:7" x14ac:dyDescent="0.25">
      <c r="F188" s="137"/>
      <c r="G188" s="137"/>
    </row>
    <row r="189" spans="6:7" x14ac:dyDescent="0.25">
      <c r="F189" s="137"/>
      <c r="G189" s="137"/>
    </row>
    <row r="190" spans="6:7" x14ac:dyDescent="0.25">
      <c r="F190" s="137"/>
      <c r="G190" s="137"/>
    </row>
    <row r="191" spans="6:7" x14ac:dyDescent="0.25">
      <c r="F191" s="137"/>
      <c r="G191" s="137"/>
    </row>
    <row r="192" spans="6:7" x14ac:dyDescent="0.25">
      <c r="F192" s="137"/>
      <c r="G192" s="137"/>
    </row>
    <row r="193" spans="6:7" x14ac:dyDescent="0.25">
      <c r="F193" s="137"/>
      <c r="G193" s="137"/>
    </row>
    <row r="194" spans="6:7" x14ac:dyDescent="0.25">
      <c r="F194" s="137"/>
      <c r="G194" s="137"/>
    </row>
    <row r="195" spans="6:7" x14ac:dyDescent="0.25">
      <c r="F195" s="137"/>
      <c r="G195" s="137"/>
    </row>
    <row r="196" spans="6:7" x14ac:dyDescent="0.25">
      <c r="F196" s="137"/>
      <c r="G196" s="137"/>
    </row>
    <row r="197" spans="6:7" x14ac:dyDescent="0.25">
      <c r="F197" s="137"/>
      <c r="G197" s="137"/>
    </row>
    <row r="198" spans="6:7" x14ac:dyDescent="0.25">
      <c r="F198" s="137"/>
      <c r="G198" s="137"/>
    </row>
    <row r="199" spans="6:7" x14ac:dyDescent="0.25">
      <c r="F199" s="137"/>
      <c r="G199" s="137"/>
    </row>
    <row r="200" spans="6:7" x14ac:dyDescent="0.25">
      <c r="F200" s="137"/>
      <c r="G200" s="137"/>
    </row>
    <row r="201" spans="6:7" x14ac:dyDescent="0.25">
      <c r="F201" s="137"/>
      <c r="G201" s="137"/>
    </row>
    <row r="202" spans="6:7" x14ac:dyDescent="0.25">
      <c r="F202" s="137"/>
      <c r="G202" s="137"/>
    </row>
    <row r="203" spans="6:7" x14ac:dyDescent="0.25">
      <c r="F203" s="137"/>
      <c r="G203" s="137"/>
    </row>
    <row r="204" spans="6:7" x14ac:dyDescent="0.25">
      <c r="F204" s="137"/>
      <c r="G204" s="137"/>
    </row>
    <row r="205" spans="6:7" x14ac:dyDescent="0.25">
      <c r="F205" s="137"/>
      <c r="G205" s="137"/>
    </row>
    <row r="206" spans="6:7" x14ac:dyDescent="0.25">
      <c r="F206" s="137"/>
      <c r="G206" s="137"/>
    </row>
    <row r="207" spans="6:7" x14ac:dyDescent="0.25">
      <c r="F207" s="137"/>
      <c r="G207" s="137"/>
    </row>
    <row r="208" spans="6:7" x14ac:dyDescent="0.25">
      <c r="F208" s="137"/>
      <c r="G208" s="137"/>
    </row>
    <row r="209" spans="6:7" x14ac:dyDescent="0.25">
      <c r="F209" s="137"/>
      <c r="G209" s="137"/>
    </row>
    <row r="210" spans="6:7" x14ac:dyDescent="0.25">
      <c r="F210" s="137"/>
      <c r="G210" s="137"/>
    </row>
    <row r="211" spans="6:7" x14ac:dyDescent="0.25">
      <c r="F211" s="137"/>
      <c r="G211" s="137"/>
    </row>
    <row r="212" spans="6:7" x14ac:dyDescent="0.25">
      <c r="F212" s="137"/>
      <c r="G212" s="132"/>
    </row>
    <row r="213" spans="6:7" x14ac:dyDescent="0.25">
      <c r="F213" s="137"/>
      <c r="G213" s="132"/>
    </row>
    <row r="214" spans="6:7" x14ac:dyDescent="0.25">
      <c r="F214" s="137"/>
      <c r="G214" s="132"/>
    </row>
    <row r="215" spans="6:7" x14ac:dyDescent="0.25">
      <c r="F215" s="137"/>
      <c r="G215" s="132"/>
    </row>
    <row r="216" spans="6:7" x14ac:dyDescent="0.25">
      <c r="F216" s="137"/>
      <c r="G216" s="132"/>
    </row>
    <row r="217" spans="6:7" x14ac:dyDescent="0.25">
      <c r="F217" s="137"/>
      <c r="G217" s="132"/>
    </row>
    <row r="218" spans="6:7" x14ac:dyDescent="0.25">
      <c r="F218" s="137"/>
      <c r="G218" s="132"/>
    </row>
    <row r="219" spans="6:7" x14ac:dyDescent="0.25">
      <c r="F219" s="137"/>
      <c r="G219" s="132"/>
    </row>
    <row r="220" spans="6:7" x14ac:dyDescent="0.25">
      <c r="F220" s="137"/>
      <c r="G220" s="132"/>
    </row>
    <row r="221" spans="6:7" x14ac:dyDescent="0.25">
      <c r="F221" s="137"/>
      <c r="G221" s="132"/>
    </row>
    <row r="222" spans="6:7" x14ac:dyDescent="0.25">
      <c r="F222" s="137"/>
      <c r="G222" s="132"/>
    </row>
    <row r="223" spans="6:7" x14ac:dyDescent="0.25">
      <c r="F223" s="137"/>
      <c r="G223" s="132"/>
    </row>
    <row r="224" spans="6:7" x14ac:dyDescent="0.25">
      <c r="F224" s="137"/>
      <c r="G224" s="132"/>
    </row>
    <row r="225" spans="6:7" x14ac:dyDescent="0.25">
      <c r="F225" s="137"/>
      <c r="G225" s="132"/>
    </row>
    <row r="226" spans="6:7" x14ac:dyDescent="0.25">
      <c r="F226" s="137"/>
      <c r="G226" s="132"/>
    </row>
    <row r="227" spans="6:7" x14ac:dyDescent="0.25">
      <c r="F227" s="137"/>
      <c r="G227" s="132"/>
    </row>
    <row r="228" spans="6:7" x14ac:dyDescent="0.25">
      <c r="F228" s="137"/>
      <c r="G228" s="132"/>
    </row>
    <row r="229" spans="6:7" x14ac:dyDescent="0.25">
      <c r="F229" s="137"/>
      <c r="G229" s="132"/>
    </row>
    <row r="230" spans="6:7" x14ac:dyDescent="0.25">
      <c r="F230" s="137"/>
      <c r="G230" s="132"/>
    </row>
    <row r="231" spans="6:7" x14ac:dyDescent="0.25">
      <c r="F231" s="137"/>
      <c r="G231" s="132"/>
    </row>
    <row r="232" spans="6:7" x14ac:dyDescent="0.25">
      <c r="F232" s="137"/>
      <c r="G232" s="132"/>
    </row>
    <row r="233" spans="6:7" x14ac:dyDescent="0.25">
      <c r="F233" s="137"/>
      <c r="G233" s="132"/>
    </row>
    <row r="234" spans="6:7" x14ac:dyDescent="0.25">
      <c r="F234" s="137"/>
      <c r="G234" s="132"/>
    </row>
    <row r="235" spans="6:7" x14ac:dyDescent="0.25">
      <c r="F235" s="137"/>
      <c r="G235" s="132"/>
    </row>
  </sheetData>
  <mergeCells count="2">
    <mergeCell ref="A1:C3"/>
    <mergeCell ref="D1:F3"/>
  </mergeCells>
  <pageMargins left="0.7" right="0.7" top="0.75" bottom="0.75" header="0.3" footer="0.3"/>
  <pageSetup scale="98" orientation="portrait" r:id="rId1"/>
  <rowBreaks count="1" manualBreakCount="1">
    <brk id="47"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15422-D9F0-4EA9-B8D5-638C07F2F046}">
  <sheetPr>
    <tabColor rgb="FFFF0000"/>
  </sheetPr>
  <dimension ref="A1:F30"/>
  <sheetViews>
    <sheetView view="pageBreakPreview" zoomScale="60" zoomScaleNormal="100" workbookViewId="0">
      <selection sqref="A1:B2"/>
    </sheetView>
  </sheetViews>
  <sheetFormatPr defaultRowHeight="15" x14ac:dyDescent="0.25"/>
  <cols>
    <col min="1" max="1" width="6.28515625" bestFit="1" customWidth="1"/>
    <col min="2" max="2" width="18.28515625" bestFit="1" customWidth="1"/>
    <col min="3" max="3" width="6.28515625" customWidth="1"/>
    <col min="4" max="5" width="9.140625" customWidth="1"/>
    <col min="6" max="6" width="2.5703125" style="53" customWidth="1"/>
    <col min="7" max="7" width="9.140625" customWidth="1"/>
  </cols>
  <sheetData>
    <row r="1" spans="1:6" s="36" customFormat="1" ht="14.45" customHeight="1" x14ac:dyDescent="0.35">
      <c r="A1" s="167" t="s">
        <v>119</v>
      </c>
      <c r="B1" s="167"/>
      <c r="C1" s="136"/>
      <c r="D1" s="136"/>
      <c r="E1" s="136"/>
      <c r="F1" s="53"/>
    </row>
    <row r="2" spans="1:6" s="36" customFormat="1" ht="14.45" customHeight="1" x14ac:dyDescent="0.35">
      <c r="A2" s="167"/>
      <c r="B2" s="167"/>
      <c r="C2" s="136"/>
      <c r="D2" s="136"/>
      <c r="E2" s="136"/>
      <c r="F2" s="53"/>
    </row>
    <row r="3" spans="1:6" ht="15.75" thickBot="1" x14ac:dyDescent="0.3"/>
    <row r="4" spans="1:6" x14ac:dyDescent="0.25">
      <c r="A4" s="208"/>
      <c r="B4" s="209" t="s">
        <v>111</v>
      </c>
      <c r="D4" s="181" t="s">
        <v>8</v>
      </c>
      <c r="E4" s="183"/>
    </row>
    <row r="5" spans="1:6" x14ac:dyDescent="0.25">
      <c r="A5" s="210">
        <v>2025</v>
      </c>
      <c r="B5" s="211">
        <f>SUM(E5:E5)*(1+INFLATION!B6)</f>
        <v>0</v>
      </c>
      <c r="D5" s="13">
        <f>A5</f>
        <v>2025</v>
      </c>
      <c r="E5" s="25">
        <v>0</v>
      </c>
    </row>
    <row r="6" spans="1:6" ht="14.1" customHeight="1" x14ac:dyDescent="0.25">
      <c r="A6" s="210">
        <f>A5+1</f>
        <v>2026</v>
      </c>
      <c r="B6" s="211">
        <f>SUM(E6:E6)*(1+INFLATION!B7)</f>
        <v>0</v>
      </c>
      <c r="D6" s="13">
        <f t="shared" ref="D6:D30" si="0">A6</f>
        <v>2026</v>
      </c>
      <c r="E6" s="25">
        <v>0</v>
      </c>
    </row>
    <row r="7" spans="1:6" ht="14.45" customHeight="1" x14ac:dyDescent="0.25">
      <c r="A7" s="210">
        <f t="shared" ref="A7:A30" si="1">A6+1</f>
        <v>2027</v>
      </c>
      <c r="B7" s="211">
        <f>SUM(E7:E7)*(1+INFLATION!B8)</f>
        <v>0</v>
      </c>
      <c r="D7" s="13">
        <f t="shared" si="0"/>
        <v>2027</v>
      </c>
      <c r="E7" s="25">
        <v>0</v>
      </c>
    </row>
    <row r="8" spans="1:6" ht="15" customHeight="1" x14ac:dyDescent="0.25">
      <c r="A8" s="210">
        <f t="shared" si="1"/>
        <v>2028</v>
      </c>
      <c r="B8" s="211">
        <f>SUM(E8:E8)*(1+INFLATION!B9)</f>
        <v>0</v>
      </c>
      <c r="D8" s="13">
        <f t="shared" si="0"/>
        <v>2028</v>
      </c>
      <c r="E8" s="25">
        <v>0</v>
      </c>
    </row>
    <row r="9" spans="1:6" x14ac:dyDescent="0.25">
      <c r="A9" s="210">
        <f t="shared" si="1"/>
        <v>2029</v>
      </c>
      <c r="B9" s="211">
        <f>SUM(E9:E9)*(1+INFLATION!B10)</f>
        <v>0</v>
      </c>
      <c r="D9" s="13">
        <f t="shared" si="0"/>
        <v>2029</v>
      </c>
      <c r="E9" s="25">
        <v>0</v>
      </c>
    </row>
    <row r="10" spans="1:6" x14ac:dyDescent="0.25">
      <c r="A10" s="210">
        <f t="shared" si="1"/>
        <v>2030</v>
      </c>
      <c r="B10" s="211">
        <f>SUM(E10:E10)*(1+INFLATION!B11)</f>
        <v>0</v>
      </c>
      <c r="D10" s="13">
        <f t="shared" si="0"/>
        <v>2030</v>
      </c>
      <c r="E10" s="25">
        <v>0</v>
      </c>
    </row>
    <row r="11" spans="1:6" x14ac:dyDescent="0.25">
      <c r="A11" s="210">
        <f t="shared" si="1"/>
        <v>2031</v>
      </c>
      <c r="B11" s="211">
        <f>SUM(E11:E11)*(1+INFLATION!B12)</f>
        <v>0</v>
      </c>
      <c r="D11" s="13">
        <f t="shared" si="0"/>
        <v>2031</v>
      </c>
      <c r="E11" s="25">
        <v>0</v>
      </c>
    </row>
    <row r="12" spans="1:6" x14ac:dyDescent="0.25">
      <c r="A12" s="210">
        <f t="shared" si="1"/>
        <v>2032</v>
      </c>
      <c r="B12" s="211">
        <f>SUM(E12:E12)*(1+INFLATION!B13)</f>
        <v>0</v>
      </c>
      <c r="D12" s="13">
        <f t="shared" si="0"/>
        <v>2032</v>
      </c>
      <c r="E12" s="25">
        <v>0</v>
      </c>
    </row>
    <row r="13" spans="1:6" x14ac:dyDescent="0.25">
      <c r="A13" s="210">
        <f t="shared" si="1"/>
        <v>2033</v>
      </c>
      <c r="B13" s="211">
        <f>SUM(E13:E13)*(1+INFLATION!B14)</f>
        <v>0</v>
      </c>
      <c r="D13" s="13">
        <f t="shared" si="0"/>
        <v>2033</v>
      </c>
      <c r="E13" s="25">
        <v>0</v>
      </c>
    </row>
    <row r="14" spans="1:6" x14ac:dyDescent="0.25">
      <c r="A14" s="210">
        <f t="shared" si="1"/>
        <v>2034</v>
      </c>
      <c r="B14" s="211">
        <f>SUM(E14:E14)*(1+INFLATION!B15)</f>
        <v>0</v>
      </c>
      <c r="D14" s="13">
        <f t="shared" si="0"/>
        <v>2034</v>
      </c>
      <c r="E14" s="25">
        <v>0</v>
      </c>
    </row>
    <row r="15" spans="1:6" x14ac:dyDescent="0.25">
      <c r="A15" s="210">
        <f t="shared" si="1"/>
        <v>2035</v>
      </c>
      <c r="B15" s="211">
        <f>SUM(E15:E15)*(1+INFLATION!B16)</f>
        <v>0</v>
      </c>
      <c r="D15" s="13">
        <f t="shared" si="0"/>
        <v>2035</v>
      </c>
      <c r="E15" s="25">
        <v>0</v>
      </c>
    </row>
    <row r="16" spans="1:6" x14ac:dyDescent="0.25">
      <c r="A16" s="210">
        <f t="shared" si="1"/>
        <v>2036</v>
      </c>
      <c r="B16" s="211">
        <f>SUM(E16:E16)*(1+INFLATION!B17)</f>
        <v>0</v>
      </c>
      <c r="D16" s="13">
        <f t="shared" si="0"/>
        <v>2036</v>
      </c>
      <c r="E16" s="25">
        <v>0</v>
      </c>
    </row>
    <row r="17" spans="1:5" x14ac:dyDescent="0.25">
      <c r="A17" s="210">
        <f t="shared" si="1"/>
        <v>2037</v>
      </c>
      <c r="B17" s="211">
        <f>SUM(E17:E17)*(1+INFLATION!B18)</f>
        <v>0</v>
      </c>
      <c r="D17" s="13">
        <f t="shared" si="0"/>
        <v>2037</v>
      </c>
      <c r="E17" s="25">
        <v>0</v>
      </c>
    </row>
    <row r="18" spans="1:5" x14ac:dyDescent="0.25">
      <c r="A18" s="210">
        <f t="shared" si="1"/>
        <v>2038</v>
      </c>
      <c r="B18" s="211">
        <f>SUM(E18:E18)*(1+INFLATION!B19)</f>
        <v>0</v>
      </c>
      <c r="D18" s="13">
        <f t="shared" si="0"/>
        <v>2038</v>
      </c>
      <c r="E18" s="25">
        <v>0</v>
      </c>
    </row>
    <row r="19" spans="1:5" x14ac:dyDescent="0.25">
      <c r="A19" s="210">
        <f t="shared" si="1"/>
        <v>2039</v>
      </c>
      <c r="B19" s="211">
        <f>SUM(E19:E19)*(1+INFLATION!B20)</f>
        <v>0</v>
      </c>
      <c r="D19" s="13">
        <f t="shared" si="0"/>
        <v>2039</v>
      </c>
      <c r="E19" s="25">
        <v>0</v>
      </c>
    </row>
    <row r="20" spans="1:5" x14ac:dyDescent="0.25">
      <c r="A20" s="210">
        <f t="shared" si="1"/>
        <v>2040</v>
      </c>
      <c r="B20" s="211">
        <f>SUM(E20:E20)*(1+INFLATION!B21)</f>
        <v>0</v>
      </c>
      <c r="D20" s="13">
        <f t="shared" si="0"/>
        <v>2040</v>
      </c>
      <c r="E20" s="25">
        <v>0</v>
      </c>
    </row>
    <row r="21" spans="1:5" x14ac:dyDescent="0.25">
      <c r="A21" s="210">
        <f t="shared" si="1"/>
        <v>2041</v>
      </c>
      <c r="B21" s="211">
        <f>SUM(E21:E21)*(1+INFLATION!B22)</f>
        <v>0</v>
      </c>
      <c r="D21" s="13">
        <f t="shared" si="0"/>
        <v>2041</v>
      </c>
      <c r="E21" s="25">
        <v>0</v>
      </c>
    </row>
    <row r="22" spans="1:5" x14ac:dyDescent="0.25">
      <c r="A22" s="210">
        <f t="shared" si="1"/>
        <v>2042</v>
      </c>
      <c r="B22" s="211">
        <f>SUM(E22:E22)*(1+INFLATION!B23)</f>
        <v>0</v>
      </c>
      <c r="D22" s="13">
        <f t="shared" si="0"/>
        <v>2042</v>
      </c>
      <c r="E22" s="25">
        <v>0</v>
      </c>
    </row>
    <row r="23" spans="1:5" x14ac:dyDescent="0.25">
      <c r="A23" s="210">
        <f t="shared" si="1"/>
        <v>2043</v>
      </c>
      <c r="B23" s="211">
        <f>SUM(E23:E23)*(1+INFLATION!B24)</f>
        <v>0</v>
      </c>
      <c r="D23" s="13">
        <f t="shared" si="0"/>
        <v>2043</v>
      </c>
      <c r="E23" s="25">
        <v>0</v>
      </c>
    </row>
    <row r="24" spans="1:5" x14ac:dyDescent="0.25">
      <c r="A24" s="210">
        <f t="shared" si="1"/>
        <v>2044</v>
      </c>
      <c r="B24" s="211">
        <f>SUM(E24:E24)*(1+INFLATION!B25)</f>
        <v>0</v>
      </c>
      <c r="D24" s="13">
        <f t="shared" si="0"/>
        <v>2044</v>
      </c>
      <c r="E24" s="25">
        <v>0</v>
      </c>
    </row>
    <row r="25" spans="1:5" x14ac:dyDescent="0.25">
      <c r="A25" s="210">
        <f t="shared" si="1"/>
        <v>2045</v>
      </c>
      <c r="B25" s="211">
        <f>SUM(E25:E25)*(1+INFLATION!B26)</f>
        <v>0</v>
      </c>
      <c r="D25" s="13">
        <f t="shared" si="0"/>
        <v>2045</v>
      </c>
      <c r="E25" s="25">
        <v>0</v>
      </c>
    </row>
    <row r="26" spans="1:5" x14ac:dyDescent="0.25">
      <c r="A26" s="210">
        <f t="shared" si="1"/>
        <v>2046</v>
      </c>
      <c r="B26" s="211">
        <f>SUM(E26:E26)*(1+INFLATION!B27)</f>
        <v>0</v>
      </c>
      <c r="D26" s="13">
        <f t="shared" si="0"/>
        <v>2046</v>
      </c>
      <c r="E26" s="25">
        <v>0</v>
      </c>
    </row>
    <row r="27" spans="1:5" x14ac:dyDescent="0.25">
      <c r="A27" s="210">
        <f t="shared" si="1"/>
        <v>2047</v>
      </c>
      <c r="B27" s="211">
        <f>SUM(E27:E27)*(1+INFLATION!B28)</f>
        <v>0</v>
      </c>
      <c r="D27" s="13">
        <f t="shared" si="0"/>
        <v>2047</v>
      </c>
      <c r="E27" s="25">
        <v>0</v>
      </c>
    </row>
    <row r="28" spans="1:5" x14ac:dyDescent="0.25">
      <c r="A28" s="210">
        <f t="shared" si="1"/>
        <v>2048</v>
      </c>
      <c r="B28" s="211">
        <f>SUM(E28:E28)*(1+INFLATION!B29)</f>
        <v>0</v>
      </c>
      <c r="D28" s="13">
        <f t="shared" si="0"/>
        <v>2048</v>
      </c>
      <c r="E28" s="25">
        <v>0</v>
      </c>
    </row>
    <row r="29" spans="1:5" x14ac:dyDescent="0.25">
      <c r="A29" s="210">
        <f t="shared" si="1"/>
        <v>2049</v>
      </c>
      <c r="B29" s="211">
        <f>SUM(E29:E29)*(1+INFLATION!B30)</f>
        <v>0</v>
      </c>
      <c r="D29" s="13">
        <f t="shared" si="0"/>
        <v>2049</v>
      </c>
      <c r="E29" s="25">
        <v>0</v>
      </c>
    </row>
    <row r="30" spans="1:5" ht="15.75" thickBot="1" x14ac:dyDescent="0.3">
      <c r="A30" s="207">
        <f t="shared" si="1"/>
        <v>2050</v>
      </c>
      <c r="B30" s="213">
        <f>SUM(E30:E30)*(1+INFLATION!B31)</f>
        <v>0</v>
      </c>
      <c r="D30" s="14">
        <f t="shared" si="0"/>
        <v>2050</v>
      </c>
      <c r="E30" s="26">
        <v>0</v>
      </c>
    </row>
  </sheetData>
  <mergeCells count="2">
    <mergeCell ref="D4:E4"/>
    <mergeCell ref="A1:B2"/>
  </mergeCells>
  <pageMargins left="0.7" right="0.7" top="0.75" bottom="0.75" header="0.3" footer="0.3"/>
  <pageSetup orientation="portrait"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A0B2A-C3C6-4B3B-8C1E-F17DDB000BCC}">
  <sheetPr>
    <tabColor rgb="FFFF0000"/>
  </sheetPr>
  <dimension ref="A1:C30"/>
  <sheetViews>
    <sheetView view="pageBreakPreview" zoomScale="60" zoomScaleNormal="100" workbookViewId="0">
      <selection sqref="A1:B2"/>
    </sheetView>
  </sheetViews>
  <sheetFormatPr defaultRowHeight="15" x14ac:dyDescent="0.25"/>
  <cols>
    <col min="1" max="1" width="6.28515625" bestFit="1" customWidth="1"/>
    <col min="2" max="2" width="18.28515625" bestFit="1" customWidth="1"/>
    <col min="3" max="3" width="12" customWidth="1"/>
  </cols>
  <sheetData>
    <row r="1" spans="1:3" ht="15" customHeight="1" x14ac:dyDescent="0.35">
      <c r="A1" s="167" t="s">
        <v>120</v>
      </c>
      <c r="B1" s="167"/>
      <c r="C1" s="136"/>
    </row>
    <row r="2" spans="1:3" s="36" customFormat="1" ht="14.45" customHeight="1" x14ac:dyDescent="0.35">
      <c r="A2" s="167"/>
      <c r="B2" s="167"/>
      <c r="C2" s="136"/>
    </row>
    <row r="3" spans="1:3" s="36" customFormat="1" ht="15.75" thickBot="1" x14ac:dyDescent="0.3"/>
    <row r="4" spans="1:3" x14ac:dyDescent="0.25">
      <c r="A4" s="208"/>
      <c r="B4" s="209" t="s">
        <v>111</v>
      </c>
    </row>
    <row r="5" spans="1:3" x14ac:dyDescent="0.25">
      <c r="A5" s="210">
        <v>2025</v>
      </c>
      <c r="B5" s="211">
        <v>0</v>
      </c>
    </row>
    <row r="6" spans="1:3" ht="14.1" customHeight="1" x14ac:dyDescent="0.25">
      <c r="A6" s="210">
        <f>A5+1</f>
        <v>2026</v>
      </c>
      <c r="B6" s="211">
        <v>0</v>
      </c>
    </row>
    <row r="7" spans="1:3" ht="14.45" customHeight="1" x14ac:dyDescent="0.25">
      <c r="A7" s="210">
        <f t="shared" ref="A7:A30" si="0">A6+1</f>
        <v>2027</v>
      </c>
      <c r="B7" s="211">
        <v>0</v>
      </c>
    </row>
    <row r="8" spans="1:3" ht="15" customHeight="1" x14ac:dyDescent="0.25">
      <c r="A8" s="210">
        <f t="shared" si="0"/>
        <v>2028</v>
      </c>
      <c r="B8" s="211">
        <v>0</v>
      </c>
    </row>
    <row r="9" spans="1:3" x14ac:dyDescent="0.25">
      <c r="A9" s="210">
        <f t="shared" si="0"/>
        <v>2029</v>
      </c>
      <c r="B9" s="211">
        <v>0</v>
      </c>
    </row>
    <row r="10" spans="1:3" x14ac:dyDescent="0.25">
      <c r="A10" s="210">
        <f t="shared" si="0"/>
        <v>2030</v>
      </c>
      <c r="B10" s="211">
        <v>0</v>
      </c>
    </row>
    <row r="11" spans="1:3" x14ac:dyDescent="0.25">
      <c r="A11" s="210">
        <f t="shared" si="0"/>
        <v>2031</v>
      </c>
      <c r="B11" s="211">
        <v>0</v>
      </c>
    </row>
    <row r="12" spans="1:3" x14ac:dyDescent="0.25">
      <c r="A12" s="210">
        <f t="shared" si="0"/>
        <v>2032</v>
      </c>
      <c r="B12" s="211">
        <v>0</v>
      </c>
    </row>
    <row r="13" spans="1:3" ht="14.45" customHeight="1" x14ac:dyDescent="0.25">
      <c r="A13" s="210">
        <f t="shared" si="0"/>
        <v>2033</v>
      </c>
      <c r="B13" s="211">
        <v>0</v>
      </c>
    </row>
    <row r="14" spans="1:3" ht="14.45" customHeight="1" x14ac:dyDescent="0.25">
      <c r="A14" s="210">
        <f t="shared" si="0"/>
        <v>2034</v>
      </c>
      <c r="B14" s="211">
        <v>0</v>
      </c>
    </row>
    <row r="15" spans="1:3" ht="14.45" customHeight="1" x14ac:dyDescent="0.25">
      <c r="A15" s="210">
        <f t="shared" si="0"/>
        <v>2035</v>
      </c>
      <c r="B15" s="211">
        <v>0</v>
      </c>
    </row>
    <row r="16" spans="1:3" ht="15" customHeight="1" x14ac:dyDescent="0.25">
      <c r="A16" s="210">
        <f t="shared" si="0"/>
        <v>2036</v>
      </c>
      <c r="B16" s="211">
        <v>0</v>
      </c>
    </row>
    <row r="17" spans="1:2" x14ac:dyDescent="0.25">
      <c r="A17" s="210">
        <f t="shared" si="0"/>
        <v>2037</v>
      </c>
      <c r="B17" s="211">
        <v>0</v>
      </c>
    </row>
    <row r="18" spans="1:2" x14ac:dyDescent="0.25">
      <c r="A18" s="210">
        <f t="shared" si="0"/>
        <v>2038</v>
      </c>
      <c r="B18" s="211">
        <v>0</v>
      </c>
    </row>
    <row r="19" spans="1:2" x14ac:dyDescent="0.25">
      <c r="A19" s="210">
        <f t="shared" si="0"/>
        <v>2039</v>
      </c>
      <c r="B19" s="211">
        <v>0</v>
      </c>
    </row>
    <row r="20" spans="1:2" x14ac:dyDescent="0.25">
      <c r="A20" s="210">
        <f t="shared" si="0"/>
        <v>2040</v>
      </c>
      <c r="B20" s="211">
        <v>0</v>
      </c>
    </row>
    <row r="21" spans="1:2" x14ac:dyDescent="0.25">
      <c r="A21" s="210">
        <f t="shared" si="0"/>
        <v>2041</v>
      </c>
      <c r="B21" s="211">
        <v>0</v>
      </c>
    </row>
    <row r="22" spans="1:2" x14ac:dyDescent="0.25">
      <c r="A22" s="210">
        <f t="shared" si="0"/>
        <v>2042</v>
      </c>
      <c r="B22" s="211">
        <v>0</v>
      </c>
    </row>
    <row r="23" spans="1:2" x14ac:dyDescent="0.25">
      <c r="A23" s="210">
        <f t="shared" si="0"/>
        <v>2043</v>
      </c>
      <c r="B23" s="211">
        <v>0</v>
      </c>
    </row>
    <row r="24" spans="1:2" x14ac:dyDescent="0.25">
      <c r="A24" s="210">
        <f t="shared" si="0"/>
        <v>2044</v>
      </c>
      <c r="B24" s="211">
        <v>0</v>
      </c>
    </row>
    <row r="25" spans="1:2" x14ac:dyDescent="0.25">
      <c r="A25" s="210">
        <f t="shared" si="0"/>
        <v>2045</v>
      </c>
      <c r="B25" s="211">
        <v>0</v>
      </c>
    </row>
    <row r="26" spans="1:2" x14ac:dyDescent="0.25">
      <c r="A26" s="210">
        <f t="shared" si="0"/>
        <v>2046</v>
      </c>
      <c r="B26" s="211">
        <v>0</v>
      </c>
    </row>
    <row r="27" spans="1:2" x14ac:dyDescent="0.25">
      <c r="A27" s="210">
        <f t="shared" si="0"/>
        <v>2047</v>
      </c>
      <c r="B27" s="211">
        <v>0</v>
      </c>
    </row>
    <row r="28" spans="1:2" x14ac:dyDescent="0.25">
      <c r="A28" s="210">
        <f t="shared" si="0"/>
        <v>2048</v>
      </c>
      <c r="B28" s="211">
        <v>0</v>
      </c>
    </row>
    <row r="29" spans="1:2" x14ac:dyDescent="0.25">
      <c r="A29" s="210">
        <f t="shared" si="0"/>
        <v>2049</v>
      </c>
      <c r="B29" s="211">
        <v>0</v>
      </c>
    </row>
    <row r="30" spans="1:2" ht="15.75" thickBot="1" x14ac:dyDescent="0.3">
      <c r="A30" s="207">
        <f t="shared" si="0"/>
        <v>2050</v>
      </c>
      <c r="B30" s="213">
        <v>0</v>
      </c>
    </row>
  </sheetData>
  <mergeCells count="1">
    <mergeCell ref="A1:B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E1495-657A-42E8-8A54-96E390B5E325}">
  <sheetPr>
    <tabColor rgb="FFFFC000"/>
  </sheetPr>
  <dimension ref="A1:AE33"/>
  <sheetViews>
    <sheetView view="pageBreakPreview" zoomScale="82" zoomScaleNormal="100" workbookViewId="0">
      <selection sqref="A1:O2"/>
    </sheetView>
  </sheetViews>
  <sheetFormatPr defaultRowHeight="15" x14ac:dyDescent="0.25"/>
  <cols>
    <col min="7" max="7" width="10.85546875" bestFit="1" customWidth="1"/>
    <col min="10" max="10" width="17.28515625" bestFit="1" customWidth="1"/>
    <col min="16" max="16" width="1.42578125" style="3" customWidth="1"/>
    <col min="24" max="24" width="1" style="3" customWidth="1"/>
  </cols>
  <sheetData>
    <row r="1" spans="1:31" s="36" customFormat="1" ht="15" customHeight="1" x14ac:dyDescent="0.35">
      <c r="A1" s="194" t="s">
        <v>129</v>
      </c>
      <c r="B1" s="195"/>
      <c r="C1" s="195"/>
      <c r="D1" s="195"/>
      <c r="E1" s="195"/>
      <c r="F1" s="195"/>
      <c r="G1" s="195"/>
      <c r="H1" s="195"/>
      <c r="I1" s="195"/>
      <c r="J1" s="195"/>
      <c r="K1" s="195"/>
      <c r="L1" s="195"/>
      <c r="M1" s="195"/>
      <c r="N1" s="195"/>
      <c r="O1" s="196"/>
      <c r="P1" s="53"/>
      <c r="Q1" s="194" t="s">
        <v>121</v>
      </c>
      <c r="R1" s="195"/>
      <c r="S1" s="195"/>
      <c r="T1" s="195"/>
      <c r="U1" s="195"/>
      <c r="V1" s="195"/>
      <c r="W1" s="196"/>
      <c r="X1" s="115"/>
      <c r="Y1" s="115"/>
      <c r="Z1" s="115"/>
      <c r="AA1" s="115"/>
      <c r="AB1" s="115"/>
      <c r="AC1" s="115"/>
      <c r="AD1" s="115"/>
      <c r="AE1" s="116"/>
    </row>
    <row r="2" spans="1:31" s="36" customFormat="1" ht="15.75" customHeight="1" thickBot="1" x14ac:dyDescent="0.4">
      <c r="A2" s="197"/>
      <c r="B2" s="198"/>
      <c r="C2" s="198"/>
      <c r="D2" s="198"/>
      <c r="E2" s="198"/>
      <c r="F2" s="198"/>
      <c r="G2" s="198"/>
      <c r="H2" s="198"/>
      <c r="I2" s="198"/>
      <c r="J2" s="198"/>
      <c r="K2" s="198"/>
      <c r="L2" s="198"/>
      <c r="M2" s="198"/>
      <c r="N2" s="198"/>
      <c r="O2" s="199"/>
      <c r="P2" s="53"/>
      <c r="Q2" s="197"/>
      <c r="R2" s="198"/>
      <c r="S2" s="198"/>
      <c r="T2" s="198"/>
      <c r="U2" s="198"/>
      <c r="V2" s="198"/>
      <c r="W2" s="199"/>
      <c r="X2" s="117"/>
      <c r="Y2" s="117"/>
      <c r="Z2" s="117"/>
      <c r="AA2" s="117"/>
      <c r="AB2" s="117"/>
      <c r="AC2" s="117"/>
      <c r="AD2" s="117"/>
      <c r="AE2" s="118"/>
    </row>
    <row r="3" spans="1:31" ht="32.25" thickBot="1" x14ac:dyDescent="0.55000000000000004">
      <c r="A3" s="208" t="s">
        <v>44</v>
      </c>
      <c r="B3" s="216" t="s">
        <v>24</v>
      </c>
      <c r="C3" s="216" t="s">
        <v>25</v>
      </c>
      <c r="D3" s="216" t="s">
        <v>26</v>
      </c>
      <c r="E3" s="216" t="s">
        <v>27</v>
      </c>
      <c r="F3" s="216" t="s">
        <v>28</v>
      </c>
      <c r="G3" s="216" t="s">
        <v>29</v>
      </c>
      <c r="H3" s="209" t="s">
        <v>30</v>
      </c>
      <c r="J3" s="170" t="s">
        <v>31</v>
      </c>
      <c r="K3" s="171"/>
      <c r="L3" s="171"/>
      <c r="M3" s="171"/>
      <c r="N3" s="171"/>
      <c r="O3" s="175"/>
      <c r="P3" s="53"/>
      <c r="Q3" s="168" t="s">
        <v>35</v>
      </c>
      <c r="R3" s="169"/>
      <c r="S3" s="169"/>
      <c r="T3" s="169"/>
      <c r="U3" s="169"/>
      <c r="V3" s="169"/>
      <c r="W3" s="174"/>
      <c r="Y3" s="168" t="s">
        <v>36</v>
      </c>
      <c r="Z3" s="169"/>
      <c r="AA3" s="169"/>
      <c r="AB3" s="169"/>
      <c r="AC3" s="169"/>
      <c r="AD3" s="169"/>
      <c r="AE3" s="174"/>
    </row>
    <row r="4" spans="1:31" x14ac:dyDescent="0.25">
      <c r="A4" s="210">
        <f>'NEW FINAL CALCULATION '!A2</f>
        <v>2025</v>
      </c>
      <c r="B4" s="217">
        <f t="shared" ref="B4:H19" si="0">IF($K$13="Peak",(VLOOKUP(B$3,$J$5:$M$11,2,FALSE)*$Z5)+(VLOOKUP(B$3,$J$5:$M$11,3,FALSE)*$AA5)+(VLOOKUP(B$3,$J$5:$M$11,4,FALSE)*$AB5),(VLOOKUP(B$3,$J$5:$M$11,2,FALSE)*$R5)+(VLOOKUP(B$3,$J$5:$M$11,3,FALSE)*$S5)+(VLOOKUP(B$3,$J$5:$M$11,4,FALSE)*$T5))</f>
        <v>3.1253560199250003</v>
      </c>
      <c r="C4" s="217">
        <f t="shared" si="0"/>
        <v>3.1253560199250003</v>
      </c>
      <c r="D4" s="217">
        <f t="shared" si="0"/>
        <v>3.1253560199250003</v>
      </c>
      <c r="E4" s="217">
        <f t="shared" si="0"/>
        <v>3.1253560199250003</v>
      </c>
      <c r="F4" s="217">
        <f>IF($K$13="Peak",(VLOOKUP(F$3,$J$5:$M$11,2,FALSE)*$Z5)+(VLOOKUP(F$3,$J$5:$M$11,3,FALSE)*$AA5)+(VLOOKUP(F$3,$J$5:$M$11,4,FALSE)*$AB5),(VLOOKUP(F$3,$J$5:$M$11,2,FALSE)*$R5)+(VLOOKUP(F$3,$J$5:$M$11,3,FALSE)*$S5)+(VLOOKUP(F$3,$J$5:$M$11,4,FALSE)*$T5))</f>
        <v>3.1253560199250003</v>
      </c>
      <c r="G4" s="217">
        <f t="shared" si="0"/>
        <v>3.1253560199250003</v>
      </c>
      <c r="H4" s="211">
        <f t="shared" si="0"/>
        <v>3.1253560199250003</v>
      </c>
      <c r="J4" s="11"/>
      <c r="K4" s="10" t="s">
        <v>32</v>
      </c>
      <c r="L4" s="10" t="s">
        <v>34</v>
      </c>
      <c r="M4" s="10" t="s">
        <v>33</v>
      </c>
      <c r="N4" s="10"/>
      <c r="O4" s="25"/>
      <c r="P4" s="53"/>
      <c r="Q4" s="54"/>
      <c r="R4" s="239" t="s">
        <v>32</v>
      </c>
      <c r="S4" s="239" t="s">
        <v>34</v>
      </c>
      <c r="T4" s="24" t="s">
        <v>33</v>
      </c>
      <c r="U4" s="2"/>
      <c r="V4" s="2"/>
      <c r="W4" s="31"/>
      <c r="Y4" s="1"/>
      <c r="Z4" s="10" t="s">
        <v>32</v>
      </c>
      <c r="AA4" s="10" t="s">
        <v>34</v>
      </c>
      <c r="AB4" s="10" t="s">
        <v>33</v>
      </c>
      <c r="AC4" s="2"/>
      <c r="AD4" s="2"/>
      <c r="AE4" s="31"/>
    </row>
    <row r="5" spans="1:31" x14ac:dyDescent="0.25">
      <c r="A5" s="210">
        <f>A4+1</f>
        <v>2026</v>
      </c>
      <c r="B5" s="217">
        <f t="shared" si="0"/>
        <v>3.3736328287583337</v>
      </c>
      <c r="C5" s="217">
        <f t="shared" ref="C5:C29" si="1">IF($K$13="Peak",(VLOOKUP(C$3,$J$5:$M$11,2,FALSE)*$Z6)+(VLOOKUP(C$3,$J$5:$M$11,3,FALSE)*$AA6)+(VLOOKUP(C$3,$J$5:$M$11,4,FALSE)*$AB6),(VLOOKUP(C$3,$J$5:$M$11,2,FALSE)*$R6)+(VLOOKUP(C$3,$J$5:$M$11,3,FALSE)*$S6)+(VLOOKUP(C$3,$J$5:$M$11,4,FALSE)*$T6))</f>
        <v>3.3736328287583337</v>
      </c>
      <c r="D5" s="217">
        <f t="shared" ref="D5:D29" si="2">IF($K$13="Peak",(VLOOKUP(D$3,$J$5:$M$11,2,FALSE)*$Z6)+(VLOOKUP(D$3,$J$5:$M$11,3,FALSE)*$AA6)+(VLOOKUP(D$3,$J$5:$M$11,4,FALSE)*$AB6),(VLOOKUP(D$3,$J$5:$M$11,2,FALSE)*$R6)+(VLOOKUP(D$3,$J$5:$M$11,3,FALSE)*$S6)+(VLOOKUP(D$3,$J$5:$M$11,4,FALSE)*$T6))</f>
        <v>3.3736328287583337</v>
      </c>
      <c r="E5" s="217">
        <f t="shared" ref="E5:E29" si="3">IF($K$13="Peak",(VLOOKUP(E$3,$J$5:$M$11,2,FALSE)*$Z6)+(VLOOKUP(E$3,$J$5:$M$11,3,FALSE)*$AA6)+(VLOOKUP(E$3,$J$5:$M$11,4,FALSE)*$AB6),(VLOOKUP(E$3,$J$5:$M$11,2,FALSE)*$R6)+(VLOOKUP(E$3,$J$5:$M$11,3,FALSE)*$S6)+(VLOOKUP(E$3,$J$5:$M$11,4,FALSE)*$T6))</f>
        <v>3.3736328287583337</v>
      </c>
      <c r="F5" s="217">
        <f t="shared" ref="F5:F29" si="4">IF($K$13="Peak",(VLOOKUP(F$3,$J$5:$M$11,2,FALSE)*$Z6)+(VLOOKUP(F$3,$J$5:$M$11,3,FALSE)*$AA6)+(VLOOKUP(F$3,$J$5:$M$11,4,FALSE)*$AB6),(VLOOKUP(F$3,$J$5:$M$11,2,FALSE)*$R6)+(VLOOKUP(F$3,$J$5:$M$11,3,FALSE)*$S6)+(VLOOKUP(F$3,$J$5:$M$11,4,FALSE)*$T6))</f>
        <v>3.3736328287583337</v>
      </c>
      <c r="G5" s="217">
        <f t="shared" ref="G5:G29" si="5">IF($K$13="Peak",(VLOOKUP(G$3,$J$5:$M$11,2,FALSE)*$Z6)+(VLOOKUP(G$3,$J$5:$M$11,3,FALSE)*$AA6)+(VLOOKUP(G$3,$J$5:$M$11,4,FALSE)*$AB6),(VLOOKUP(G$3,$J$5:$M$11,2,FALSE)*$R6)+(VLOOKUP(G$3,$J$5:$M$11,3,FALSE)*$S6)+(VLOOKUP(G$3,$J$5:$M$11,4,FALSE)*$T6))</f>
        <v>3.3736328287583337</v>
      </c>
      <c r="H5" s="211">
        <f t="shared" ref="H5:H29" si="6">IF($K$13="Peak",(VLOOKUP(H$3,$J$5:$M$11,2,FALSE)*$Z6)+(VLOOKUP(H$3,$J$5:$M$11,3,FALSE)*$AA6)+(VLOOKUP(H$3,$J$5:$M$11,4,FALSE)*$AB6),(VLOOKUP(H$3,$J$5:$M$11,2,FALSE)*$R6)+(VLOOKUP(H$3,$J$5:$M$11,3,FALSE)*$S6)+(VLOOKUP(H$3,$J$5:$M$11,4,FALSE)*$T6))</f>
        <v>3.3736328287583337</v>
      </c>
      <c r="J5" s="13" t="s">
        <v>24</v>
      </c>
      <c r="K5" s="6">
        <v>0.2</v>
      </c>
      <c r="L5" s="6">
        <v>0.3</v>
      </c>
      <c r="M5" s="6">
        <v>0.5</v>
      </c>
      <c r="N5" s="10"/>
      <c r="O5" s="25"/>
      <c r="P5" s="53"/>
      <c r="Q5" s="13">
        <f>A4</f>
        <v>2025</v>
      </c>
      <c r="R5" s="6">
        <v>3.2366161127499997</v>
      </c>
      <c r="S5" s="6">
        <v>1.9610840958333335</v>
      </c>
      <c r="T5" s="7">
        <v>3.7794151372500004</v>
      </c>
      <c r="U5" s="2"/>
      <c r="V5" s="2"/>
      <c r="W5" s="31"/>
      <c r="Y5" s="13">
        <f>Q5</f>
        <v>2025</v>
      </c>
      <c r="Z5" s="6">
        <v>2.0299999999999998</v>
      </c>
      <c r="AA5" s="6">
        <v>3.17</v>
      </c>
      <c r="AB5" s="6">
        <v>4.01</v>
      </c>
      <c r="AC5" s="2"/>
      <c r="AD5" s="2"/>
      <c r="AE5" s="31"/>
    </row>
    <row r="6" spans="1:31" x14ac:dyDescent="0.25">
      <c r="A6" s="210">
        <f t="shared" ref="A6:A29" si="7">A5+1</f>
        <v>2027</v>
      </c>
      <c r="B6" s="217">
        <f t="shared" si="0"/>
        <v>3.3739808038416665</v>
      </c>
      <c r="C6" s="217">
        <f t="shared" si="1"/>
        <v>3.3739808038416665</v>
      </c>
      <c r="D6" s="217">
        <f t="shared" si="2"/>
        <v>3.3739808038416665</v>
      </c>
      <c r="E6" s="217">
        <f t="shared" si="3"/>
        <v>3.3739808038416665</v>
      </c>
      <c r="F6" s="217">
        <f t="shared" si="4"/>
        <v>3.3739808038416665</v>
      </c>
      <c r="G6" s="217">
        <f t="shared" si="5"/>
        <v>3.3739808038416665</v>
      </c>
      <c r="H6" s="211">
        <f t="shared" si="6"/>
        <v>3.3739808038416665</v>
      </c>
      <c r="J6" s="13" t="s">
        <v>25</v>
      </c>
      <c r="K6" s="6">
        <v>0.2</v>
      </c>
      <c r="L6" s="6">
        <v>0.3</v>
      </c>
      <c r="M6" s="6">
        <v>0.5</v>
      </c>
      <c r="N6" s="10"/>
      <c r="O6" s="25"/>
      <c r="P6" s="53"/>
      <c r="Q6" s="13">
        <f t="shared" ref="Q6:Q30" si="8">A5</f>
        <v>2026</v>
      </c>
      <c r="R6" s="6">
        <v>3.6718502446666665</v>
      </c>
      <c r="S6" s="6">
        <v>2.3134232827500005</v>
      </c>
      <c r="T6" s="7">
        <v>3.8904715900000002</v>
      </c>
      <c r="U6" s="2"/>
      <c r="V6" s="2"/>
      <c r="W6" s="31"/>
      <c r="Y6" s="13">
        <f t="shared" ref="Y6:Y24" si="9">Q6</f>
        <v>2026</v>
      </c>
      <c r="Z6" s="6">
        <v>1.9947131077094886</v>
      </c>
      <c r="AA6" s="6">
        <v>2.9384978790466545</v>
      </c>
      <c r="AB6" s="6">
        <v>3.3748664861836417</v>
      </c>
      <c r="AC6" s="2"/>
      <c r="AD6" s="2"/>
      <c r="AE6" s="31"/>
    </row>
    <row r="7" spans="1:31" x14ac:dyDescent="0.25">
      <c r="A7" s="210">
        <f t="shared" si="7"/>
        <v>2028</v>
      </c>
      <c r="B7" s="217">
        <f t="shared" si="0"/>
        <v>3.2965969088833331</v>
      </c>
      <c r="C7" s="217">
        <f t="shared" si="1"/>
        <v>3.2965969088833331</v>
      </c>
      <c r="D7" s="217">
        <f t="shared" si="2"/>
        <v>3.2965969088833331</v>
      </c>
      <c r="E7" s="217">
        <f t="shared" si="3"/>
        <v>3.2965969088833331</v>
      </c>
      <c r="F7" s="217">
        <f t="shared" si="4"/>
        <v>3.2965969088833331</v>
      </c>
      <c r="G7" s="217">
        <f t="shared" si="5"/>
        <v>3.2965969088833331</v>
      </c>
      <c r="H7" s="211">
        <f t="shared" si="6"/>
        <v>3.2965969088833331</v>
      </c>
      <c r="J7" s="13" t="s">
        <v>26</v>
      </c>
      <c r="K7" s="6">
        <v>0.2</v>
      </c>
      <c r="L7" s="6">
        <v>0.3</v>
      </c>
      <c r="M7" s="6">
        <v>0.5</v>
      </c>
      <c r="N7" s="10"/>
      <c r="O7" s="25"/>
      <c r="P7" s="53"/>
      <c r="Q7" s="13">
        <f t="shared" si="8"/>
        <v>2027</v>
      </c>
      <c r="R7" s="6">
        <v>3.8213655118333336</v>
      </c>
      <c r="S7" s="6">
        <v>2.4912242770000002</v>
      </c>
      <c r="T7" s="7">
        <v>3.7246808367499997</v>
      </c>
      <c r="U7" s="2"/>
      <c r="V7" s="2"/>
      <c r="W7" s="31"/>
      <c r="Y7" s="13">
        <f t="shared" si="9"/>
        <v>2027</v>
      </c>
      <c r="Z7" s="6">
        <v>1.9815987749205051</v>
      </c>
      <c r="AA7" s="6">
        <v>2.7558425296680387</v>
      </c>
      <c r="AB7" s="6">
        <v>2.9533708377709882</v>
      </c>
      <c r="AC7" s="2"/>
      <c r="AD7" s="2"/>
      <c r="AE7" s="31"/>
    </row>
    <row r="8" spans="1:31" x14ac:dyDescent="0.25">
      <c r="A8" s="210">
        <f t="shared" si="7"/>
        <v>2029</v>
      </c>
      <c r="B8" s="217">
        <f t="shared" si="0"/>
        <v>3.2706495291833333</v>
      </c>
      <c r="C8" s="217">
        <f t="shared" si="1"/>
        <v>3.2706495291833333</v>
      </c>
      <c r="D8" s="217">
        <f t="shared" si="2"/>
        <v>3.2706495291833333</v>
      </c>
      <c r="E8" s="217">
        <f t="shared" si="3"/>
        <v>3.2706495291833333</v>
      </c>
      <c r="F8" s="217">
        <f t="shared" si="4"/>
        <v>3.2706495291833333</v>
      </c>
      <c r="G8" s="217">
        <f t="shared" si="5"/>
        <v>3.2706495291833333</v>
      </c>
      <c r="H8" s="211">
        <f t="shared" si="6"/>
        <v>3.2706495291833333</v>
      </c>
      <c r="J8" s="13" t="s">
        <v>27</v>
      </c>
      <c r="K8" s="6">
        <v>0.2</v>
      </c>
      <c r="L8" s="6">
        <v>0.3</v>
      </c>
      <c r="M8" s="6">
        <v>0.5</v>
      </c>
      <c r="N8" s="10"/>
      <c r="O8" s="25"/>
      <c r="P8" s="53"/>
      <c r="Q8" s="13">
        <f t="shared" si="8"/>
        <v>2028</v>
      </c>
      <c r="R8" s="6">
        <v>3.9388862240833329</v>
      </c>
      <c r="S8" s="6">
        <v>2.4957101634166663</v>
      </c>
      <c r="T8" s="7">
        <v>3.5202132300833333</v>
      </c>
      <c r="U8" s="2"/>
      <c r="V8" s="2"/>
      <c r="W8" s="31"/>
      <c r="Y8" s="13">
        <f t="shared" si="9"/>
        <v>2028</v>
      </c>
      <c r="Z8" s="6">
        <v>2.0740821191892755</v>
      </c>
      <c r="AA8" s="6">
        <v>2.8641912995158507</v>
      </c>
      <c r="AB8" s="6">
        <v>3.1650983877752989</v>
      </c>
      <c r="AC8" s="2"/>
      <c r="AD8" s="2"/>
      <c r="AE8" s="31"/>
    </row>
    <row r="9" spans="1:31" x14ac:dyDescent="0.25">
      <c r="A9" s="210">
        <f t="shared" si="7"/>
        <v>2030</v>
      </c>
      <c r="B9" s="217">
        <f t="shared" si="0"/>
        <v>3.3303217903249998</v>
      </c>
      <c r="C9" s="217">
        <f t="shared" si="1"/>
        <v>3.3303217903249998</v>
      </c>
      <c r="D9" s="217">
        <f t="shared" si="2"/>
        <v>3.3303217903249998</v>
      </c>
      <c r="E9" s="217">
        <f t="shared" si="3"/>
        <v>3.3303217903249998</v>
      </c>
      <c r="F9" s="217">
        <f t="shared" si="4"/>
        <v>3.3303217903249998</v>
      </c>
      <c r="G9" s="217">
        <f t="shared" si="5"/>
        <v>3.3303217903249998</v>
      </c>
      <c r="H9" s="211">
        <f t="shared" si="6"/>
        <v>3.3303217903249998</v>
      </c>
      <c r="J9" s="13" t="s">
        <v>28</v>
      </c>
      <c r="K9" s="6">
        <v>0.2</v>
      </c>
      <c r="L9" s="6">
        <v>0.3</v>
      </c>
      <c r="M9" s="6">
        <v>0.5</v>
      </c>
      <c r="N9" s="10"/>
      <c r="O9" s="25"/>
      <c r="P9" s="53"/>
      <c r="Q9" s="13">
        <f t="shared" si="8"/>
        <v>2029</v>
      </c>
      <c r="R9" s="6">
        <v>4.1608882750833329</v>
      </c>
      <c r="S9" s="6">
        <v>2.5117612758333334</v>
      </c>
      <c r="T9" s="7">
        <v>3.3698869828333327</v>
      </c>
      <c r="U9" s="2"/>
      <c r="V9" s="2"/>
      <c r="W9" s="31"/>
      <c r="Y9" s="13">
        <f t="shared" si="9"/>
        <v>2029</v>
      </c>
      <c r="Z9" s="6">
        <v>2.2023907571761483</v>
      </c>
      <c r="AA9" s="6">
        <v>2.99798354441924</v>
      </c>
      <c r="AB9" s="6">
        <v>3.4590823612950703</v>
      </c>
      <c r="AC9" s="2"/>
      <c r="AD9" s="2"/>
      <c r="AE9" s="31"/>
    </row>
    <row r="10" spans="1:31" x14ac:dyDescent="0.25">
      <c r="A10" s="210">
        <f t="shared" si="7"/>
        <v>2031</v>
      </c>
      <c r="B10" s="217">
        <f t="shared" si="0"/>
        <v>3.4010062784500001</v>
      </c>
      <c r="C10" s="217">
        <f t="shared" si="1"/>
        <v>3.4010062784500001</v>
      </c>
      <c r="D10" s="217">
        <f t="shared" si="2"/>
        <v>3.4010062784500001</v>
      </c>
      <c r="E10" s="217">
        <f t="shared" si="3"/>
        <v>3.4010062784500001</v>
      </c>
      <c r="F10" s="217">
        <f t="shared" si="4"/>
        <v>3.4010062784500001</v>
      </c>
      <c r="G10" s="217">
        <f t="shared" si="5"/>
        <v>3.4010062784500001</v>
      </c>
      <c r="H10" s="211">
        <f t="shared" si="6"/>
        <v>3.4010062784500001</v>
      </c>
      <c r="J10" s="13" t="s">
        <v>29</v>
      </c>
      <c r="K10" s="6">
        <v>0.2</v>
      </c>
      <c r="L10" s="6">
        <v>0.3</v>
      </c>
      <c r="M10" s="6">
        <v>0.5</v>
      </c>
      <c r="N10" s="10"/>
      <c r="O10" s="25"/>
      <c r="P10" s="53"/>
      <c r="Q10" s="13">
        <f t="shared" si="8"/>
        <v>2030</v>
      </c>
      <c r="R10" s="6">
        <v>4.3170099311666661</v>
      </c>
      <c r="S10" s="6">
        <v>2.5593055197499996</v>
      </c>
      <c r="T10" s="7">
        <v>3.3982562963333334</v>
      </c>
      <c r="U10" s="2"/>
      <c r="V10" s="2"/>
      <c r="W10" s="31"/>
      <c r="Y10" s="13">
        <f t="shared" si="9"/>
        <v>2030</v>
      </c>
      <c r="Z10" s="6">
        <v>2.3298811729892606</v>
      </c>
      <c r="AA10" s="6">
        <v>3.1180941169787753</v>
      </c>
      <c r="AB10" s="6">
        <v>3.6286226466243581</v>
      </c>
      <c r="AC10" s="2"/>
      <c r="AD10" s="2"/>
      <c r="AE10" s="31"/>
    </row>
    <row r="11" spans="1:31" x14ac:dyDescent="0.25">
      <c r="A11" s="210">
        <f t="shared" si="7"/>
        <v>2032</v>
      </c>
      <c r="B11" s="217">
        <f t="shared" si="0"/>
        <v>3.5495035084166671</v>
      </c>
      <c r="C11" s="217">
        <f t="shared" si="1"/>
        <v>3.5495035084166671</v>
      </c>
      <c r="D11" s="217">
        <f t="shared" si="2"/>
        <v>3.5495035084166671</v>
      </c>
      <c r="E11" s="217">
        <f t="shared" si="3"/>
        <v>3.5495035084166671</v>
      </c>
      <c r="F11" s="217">
        <f t="shared" si="4"/>
        <v>3.5495035084166671</v>
      </c>
      <c r="G11" s="217">
        <f t="shared" si="5"/>
        <v>3.5495035084166671</v>
      </c>
      <c r="H11" s="211">
        <f t="shared" si="6"/>
        <v>3.5495035084166671</v>
      </c>
      <c r="J11" s="13" t="s">
        <v>30</v>
      </c>
      <c r="K11" s="6">
        <v>0.2</v>
      </c>
      <c r="L11" s="6">
        <v>0.3</v>
      </c>
      <c r="M11" s="6">
        <v>0.5</v>
      </c>
      <c r="N11" s="10"/>
      <c r="O11" s="25"/>
      <c r="P11" s="53"/>
      <c r="Q11" s="13">
        <f t="shared" si="8"/>
        <v>2031</v>
      </c>
      <c r="R11" s="6">
        <v>4.4835203100833336</v>
      </c>
      <c r="S11" s="6">
        <v>2.6025144057500005</v>
      </c>
      <c r="T11" s="7">
        <v>3.4470957894166663</v>
      </c>
      <c r="U11" s="2"/>
      <c r="V11" s="2"/>
      <c r="W11" s="31"/>
      <c r="Y11" s="13">
        <f t="shared" si="9"/>
        <v>2031</v>
      </c>
      <c r="Z11" s="6">
        <v>2.4055622175352109</v>
      </c>
      <c r="AA11" s="6">
        <v>3.193336755599999</v>
      </c>
      <c r="AB11" s="6">
        <v>3.6632894304503507</v>
      </c>
      <c r="AC11" s="2"/>
      <c r="AD11" s="2"/>
      <c r="AE11" s="31"/>
    </row>
    <row r="12" spans="1:31" x14ac:dyDescent="0.25">
      <c r="A12" s="210">
        <f t="shared" si="7"/>
        <v>2033</v>
      </c>
      <c r="B12" s="217">
        <f t="shared" si="0"/>
        <v>3.6838618149166669</v>
      </c>
      <c r="C12" s="217">
        <f t="shared" si="1"/>
        <v>3.6838618149166669</v>
      </c>
      <c r="D12" s="217">
        <f t="shared" si="2"/>
        <v>3.6838618149166669</v>
      </c>
      <c r="E12" s="217">
        <f t="shared" si="3"/>
        <v>3.6838618149166669</v>
      </c>
      <c r="F12" s="217">
        <f t="shared" si="4"/>
        <v>3.6838618149166669</v>
      </c>
      <c r="G12" s="217">
        <f t="shared" si="5"/>
        <v>3.6838618149166669</v>
      </c>
      <c r="H12" s="211">
        <f t="shared" si="6"/>
        <v>3.6838618149166669</v>
      </c>
      <c r="J12" s="1"/>
      <c r="K12" s="2"/>
      <c r="L12" s="2"/>
      <c r="M12" s="2"/>
      <c r="N12" s="2"/>
      <c r="O12" s="31"/>
      <c r="P12" s="53"/>
      <c r="Q12" s="13">
        <f t="shared" si="8"/>
        <v>2032</v>
      </c>
      <c r="R12" s="6">
        <v>4.5880750559166668</v>
      </c>
      <c r="S12" s="6">
        <v>2.8238372142500001</v>
      </c>
      <c r="T12" s="7">
        <v>3.5694746659166672</v>
      </c>
      <c r="U12" s="2"/>
      <c r="V12" s="2"/>
      <c r="W12" s="31"/>
      <c r="Y12" s="13">
        <f t="shared" si="9"/>
        <v>2032</v>
      </c>
      <c r="Z12" s="6">
        <v>2.2758322587101887</v>
      </c>
      <c r="AA12" s="6">
        <v>3.2047557894889782</v>
      </c>
      <c r="AB12" s="6">
        <v>3.5878257553733954</v>
      </c>
      <c r="AC12" s="2"/>
      <c r="AD12" s="2"/>
      <c r="AE12" s="31"/>
    </row>
    <row r="13" spans="1:31" ht="15.75" thickBot="1" x14ac:dyDescent="0.3">
      <c r="A13" s="210">
        <f t="shared" si="7"/>
        <v>2034</v>
      </c>
      <c r="B13" s="217">
        <f t="shared" si="0"/>
        <v>3.7034942771583337</v>
      </c>
      <c r="C13" s="217">
        <f t="shared" si="1"/>
        <v>3.7034942771583337</v>
      </c>
      <c r="D13" s="217">
        <f t="shared" si="2"/>
        <v>3.7034942771583337</v>
      </c>
      <c r="E13" s="217">
        <f t="shared" si="3"/>
        <v>3.7034942771583337</v>
      </c>
      <c r="F13" s="217">
        <f t="shared" si="4"/>
        <v>3.7034942771583337</v>
      </c>
      <c r="G13" s="217">
        <f t="shared" si="5"/>
        <v>3.7034942771583337</v>
      </c>
      <c r="H13" s="211">
        <f t="shared" si="6"/>
        <v>3.7034942771583337</v>
      </c>
      <c r="J13" s="12" t="s">
        <v>37</v>
      </c>
      <c r="K13" s="8" t="s">
        <v>38</v>
      </c>
      <c r="L13" s="32"/>
      <c r="M13" s="32"/>
      <c r="N13" s="32"/>
      <c r="O13" s="33"/>
      <c r="P13" s="53"/>
      <c r="Q13" s="13">
        <f t="shared" si="8"/>
        <v>2033</v>
      </c>
      <c r="R13" s="6">
        <v>4.719699438666666</v>
      </c>
      <c r="S13" s="6">
        <v>2.9267121107499996</v>
      </c>
      <c r="T13" s="7">
        <v>3.7238165879166671</v>
      </c>
      <c r="U13" s="2"/>
      <c r="V13" s="2"/>
      <c r="W13" s="31"/>
      <c r="Y13" s="13">
        <f t="shared" si="9"/>
        <v>2033</v>
      </c>
      <c r="Z13" s="6">
        <v>2.3190567445199841</v>
      </c>
      <c r="AA13" s="6">
        <v>3.2888346968863811</v>
      </c>
      <c r="AB13" s="6">
        <v>3.6526626946771019</v>
      </c>
      <c r="AC13" s="2"/>
      <c r="AD13" s="2"/>
      <c r="AE13" s="31"/>
    </row>
    <row r="14" spans="1:31" x14ac:dyDescent="0.25">
      <c r="A14" s="210">
        <f t="shared" si="7"/>
        <v>2035</v>
      </c>
      <c r="B14" s="217">
        <f t="shared" si="0"/>
        <v>3.792365138358333</v>
      </c>
      <c r="C14" s="217">
        <f t="shared" si="1"/>
        <v>3.792365138358333</v>
      </c>
      <c r="D14" s="217">
        <f t="shared" si="2"/>
        <v>3.792365138358333</v>
      </c>
      <c r="E14" s="217">
        <f t="shared" si="3"/>
        <v>3.792365138358333</v>
      </c>
      <c r="F14" s="217">
        <f t="shared" si="4"/>
        <v>3.792365138358333</v>
      </c>
      <c r="G14" s="217">
        <f t="shared" si="5"/>
        <v>3.792365138358333</v>
      </c>
      <c r="H14" s="211">
        <f t="shared" si="6"/>
        <v>3.792365138358333</v>
      </c>
      <c r="P14" s="53"/>
      <c r="Q14" s="13">
        <f t="shared" si="8"/>
        <v>2034</v>
      </c>
      <c r="R14" s="6">
        <v>4.834971539083333</v>
      </c>
      <c r="S14" s="6">
        <v>2.9355805885000001</v>
      </c>
      <c r="T14" s="7">
        <v>3.7116515855833341</v>
      </c>
      <c r="U14" s="2"/>
      <c r="V14" s="2"/>
      <c r="W14" s="31"/>
      <c r="Y14" s="13">
        <f t="shared" si="9"/>
        <v>2034</v>
      </c>
      <c r="Z14" s="6">
        <v>2.3892803431191298</v>
      </c>
      <c r="AA14" s="6">
        <v>3.377968602593155</v>
      </c>
      <c r="AB14" s="6">
        <v>3.7285276789593023</v>
      </c>
      <c r="AC14" s="2"/>
      <c r="AD14" s="2"/>
      <c r="AE14" s="31"/>
    </row>
    <row r="15" spans="1:31" x14ac:dyDescent="0.25">
      <c r="A15" s="210">
        <f t="shared" si="7"/>
        <v>2036</v>
      </c>
      <c r="B15" s="217">
        <f t="shared" si="0"/>
        <v>3.8208995509499997</v>
      </c>
      <c r="C15" s="217">
        <f t="shared" si="1"/>
        <v>3.8208995509499997</v>
      </c>
      <c r="D15" s="217">
        <f t="shared" si="2"/>
        <v>3.8208995509499997</v>
      </c>
      <c r="E15" s="217">
        <f t="shared" si="3"/>
        <v>3.8208995509499997</v>
      </c>
      <c r="F15" s="217">
        <f t="shared" si="4"/>
        <v>3.8208995509499997</v>
      </c>
      <c r="G15" s="217">
        <f t="shared" si="5"/>
        <v>3.8208995509499997</v>
      </c>
      <c r="H15" s="211">
        <f t="shared" si="6"/>
        <v>3.8208995509499997</v>
      </c>
      <c r="P15" s="53"/>
      <c r="Q15" s="13">
        <f t="shared" si="8"/>
        <v>2035</v>
      </c>
      <c r="R15" s="6">
        <v>4.9457629111666668</v>
      </c>
      <c r="S15" s="6">
        <v>3.0054962699999996</v>
      </c>
      <c r="T15" s="7">
        <v>3.80312735025</v>
      </c>
      <c r="U15" s="2"/>
      <c r="V15" s="2"/>
      <c r="W15" s="31"/>
      <c r="Y15" s="13">
        <f t="shared" si="9"/>
        <v>2035</v>
      </c>
      <c r="Z15" s="6">
        <v>2.4085339805770096</v>
      </c>
      <c r="AA15" s="6">
        <v>3.3730792681263511</v>
      </c>
      <c r="AB15" s="6">
        <v>3.7241910491966759</v>
      </c>
      <c r="AC15" s="2"/>
      <c r="AD15" s="2"/>
      <c r="AE15" s="31"/>
    </row>
    <row r="16" spans="1:31" x14ac:dyDescent="0.25">
      <c r="A16" s="210">
        <f t="shared" si="7"/>
        <v>2037</v>
      </c>
      <c r="B16" s="217">
        <f t="shared" si="0"/>
        <v>3.7738089358583338</v>
      </c>
      <c r="C16" s="217">
        <f t="shared" si="1"/>
        <v>3.7738089358583338</v>
      </c>
      <c r="D16" s="217">
        <f t="shared" si="2"/>
        <v>3.7738089358583338</v>
      </c>
      <c r="E16" s="217">
        <f t="shared" si="3"/>
        <v>3.7738089358583338</v>
      </c>
      <c r="F16" s="217">
        <f t="shared" si="4"/>
        <v>3.7738089358583338</v>
      </c>
      <c r="G16" s="217">
        <f t="shared" si="5"/>
        <v>3.7738089358583338</v>
      </c>
      <c r="H16" s="211">
        <f t="shared" si="6"/>
        <v>3.7738089358583338</v>
      </c>
      <c r="P16" s="53"/>
      <c r="Q16" s="13">
        <f t="shared" si="8"/>
        <v>2036</v>
      </c>
      <c r="R16" s="6">
        <v>4.9773103384999997</v>
      </c>
      <c r="S16" s="6">
        <v>3.0060965037499994</v>
      </c>
      <c r="T16" s="7">
        <v>3.8472170642499997</v>
      </c>
      <c r="U16" s="2"/>
      <c r="V16" s="2"/>
      <c r="W16" s="31"/>
      <c r="Y16" s="13">
        <f t="shared" si="9"/>
        <v>2036</v>
      </c>
      <c r="Z16" s="6">
        <v>2.5109564845096308</v>
      </c>
      <c r="AA16" s="6">
        <v>3.4742361847587526</v>
      </c>
      <c r="AB16" s="6">
        <v>3.8448022749515003</v>
      </c>
      <c r="AC16" s="2"/>
      <c r="AD16" s="2"/>
      <c r="AE16" s="31"/>
    </row>
    <row r="17" spans="1:31" x14ac:dyDescent="0.25">
      <c r="A17" s="210">
        <f t="shared" si="7"/>
        <v>2038</v>
      </c>
      <c r="B17" s="217">
        <f t="shared" si="0"/>
        <v>3.8825475222916666</v>
      </c>
      <c r="C17" s="217">
        <f t="shared" si="1"/>
        <v>3.8825475222916666</v>
      </c>
      <c r="D17" s="217">
        <f t="shared" si="2"/>
        <v>3.8825475222916666</v>
      </c>
      <c r="E17" s="217">
        <f t="shared" si="3"/>
        <v>3.8825475222916666</v>
      </c>
      <c r="F17" s="217">
        <f t="shared" si="4"/>
        <v>3.8825475222916666</v>
      </c>
      <c r="G17" s="217">
        <f t="shared" si="5"/>
        <v>3.8825475222916666</v>
      </c>
      <c r="H17" s="211">
        <f t="shared" si="6"/>
        <v>3.8825475222916666</v>
      </c>
      <c r="P17" s="53"/>
      <c r="Q17" s="13">
        <f t="shared" si="8"/>
        <v>2037</v>
      </c>
      <c r="R17" s="6">
        <v>5.0112503881666663</v>
      </c>
      <c r="S17" s="6">
        <v>2.8976730490833336</v>
      </c>
      <c r="T17" s="7">
        <v>3.8045138870000006</v>
      </c>
      <c r="U17" s="2"/>
      <c r="V17" s="2"/>
      <c r="W17" s="31"/>
      <c r="Y17" s="13">
        <f t="shared" si="9"/>
        <v>2037</v>
      </c>
      <c r="Z17" s="6">
        <v>2.5878741856614802</v>
      </c>
      <c r="AA17" s="6">
        <v>3.5690259196834013</v>
      </c>
      <c r="AB17" s="6">
        <v>3.9339704517420788</v>
      </c>
      <c r="AC17" s="2"/>
      <c r="AD17" s="2"/>
      <c r="AE17" s="31"/>
    </row>
    <row r="18" spans="1:31" x14ac:dyDescent="0.25">
      <c r="A18" s="210">
        <f t="shared" si="7"/>
        <v>2039</v>
      </c>
      <c r="B18" s="217">
        <f t="shared" si="0"/>
        <v>4.0143816119166669</v>
      </c>
      <c r="C18" s="217">
        <f t="shared" si="1"/>
        <v>4.0143816119166669</v>
      </c>
      <c r="D18" s="217">
        <f t="shared" si="2"/>
        <v>4.0143816119166669</v>
      </c>
      <c r="E18" s="217">
        <f t="shared" si="3"/>
        <v>4.0143816119166669</v>
      </c>
      <c r="F18" s="217">
        <f t="shared" si="4"/>
        <v>4.0143816119166669</v>
      </c>
      <c r="G18" s="217">
        <f t="shared" si="5"/>
        <v>4.0143816119166669</v>
      </c>
      <c r="H18" s="211">
        <f t="shared" si="6"/>
        <v>4.0143816119166669</v>
      </c>
      <c r="P18" s="53"/>
      <c r="Q18" s="13">
        <f t="shared" si="8"/>
        <v>2038</v>
      </c>
      <c r="R18" s="6">
        <v>5.1243748278333339</v>
      </c>
      <c r="S18" s="6">
        <v>2.9174130069999999</v>
      </c>
      <c r="T18" s="7">
        <v>3.9648973092499999</v>
      </c>
      <c r="U18" s="2"/>
      <c r="V18" s="2"/>
      <c r="W18" s="31"/>
      <c r="Y18" s="13">
        <f t="shared" si="9"/>
        <v>2038</v>
      </c>
      <c r="Z18" s="6">
        <v>2.5912726255594558</v>
      </c>
      <c r="AA18" s="6">
        <v>3.5859664281124859</v>
      </c>
      <c r="AB18" s="6">
        <v>3.922225119122102</v>
      </c>
      <c r="AC18" s="2"/>
      <c r="AD18" s="2"/>
      <c r="AE18" s="31"/>
    </row>
    <row r="19" spans="1:31" x14ac:dyDescent="0.25">
      <c r="A19" s="210">
        <f t="shared" si="7"/>
        <v>2040</v>
      </c>
      <c r="B19" s="217">
        <f t="shared" si="0"/>
        <v>4.2820649330333334</v>
      </c>
      <c r="C19" s="217">
        <f t="shared" si="1"/>
        <v>4.2820649330333334</v>
      </c>
      <c r="D19" s="217">
        <f t="shared" si="2"/>
        <v>4.2820649330333334</v>
      </c>
      <c r="E19" s="217">
        <f t="shared" si="3"/>
        <v>4.2820649330333334</v>
      </c>
      <c r="F19" s="217">
        <f t="shared" si="4"/>
        <v>4.2820649330333334</v>
      </c>
      <c r="G19" s="217">
        <f t="shared" si="5"/>
        <v>4.2820649330333334</v>
      </c>
      <c r="H19" s="211">
        <f t="shared" si="6"/>
        <v>4.2820649330333334</v>
      </c>
      <c r="P19" s="53"/>
      <c r="Q19" s="13">
        <f t="shared" si="8"/>
        <v>2039</v>
      </c>
      <c r="R19" s="6">
        <v>5.2416789779166661</v>
      </c>
      <c r="S19" s="6">
        <v>3.0397507637500003</v>
      </c>
      <c r="T19" s="7">
        <v>4.1082411744166665</v>
      </c>
      <c r="U19" s="2"/>
      <c r="V19" s="2"/>
      <c r="W19" s="31"/>
      <c r="Y19" s="13">
        <f t="shared" si="9"/>
        <v>2039</v>
      </c>
      <c r="Z19" s="6">
        <v>2.6298055509583973</v>
      </c>
      <c r="AA19" s="6">
        <v>3.7117820121765446</v>
      </c>
      <c r="AB19" s="6">
        <v>3.9882583601591923</v>
      </c>
      <c r="AC19" s="2"/>
      <c r="AD19" s="2"/>
      <c r="AE19" s="31"/>
    </row>
    <row r="20" spans="1:31" x14ac:dyDescent="0.25">
      <c r="A20" s="210">
        <f t="shared" si="7"/>
        <v>2041</v>
      </c>
      <c r="B20" s="217">
        <f t="shared" ref="B20:B29" si="10">IF($K$13="Peak",(VLOOKUP(B$3,$J$5:$M$11,2,FALSE)*$Z21)+(VLOOKUP(B$3,$J$5:$M$11,3,FALSE)*$AA21)+(VLOOKUP(B$3,$J$5:$M$11,4,FALSE)*$AB21),(VLOOKUP(B$3,$J$5:$M$11,2,FALSE)*$R21)+(VLOOKUP(B$3,$J$5:$M$11,3,FALSE)*$S21)+(VLOOKUP(B$3,$J$5:$M$11,4,FALSE)*$T21))</f>
        <v>4.3491999984083343</v>
      </c>
      <c r="C20" s="217">
        <f t="shared" si="1"/>
        <v>4.3491999984083343</v>
      </c>
      <c r="D20" s="217">
        <f t="shared" si="2"/>
        <v>4.3491999984083343</v>
      </c>
      <c r="E20" s="217">
        <f t="shared" si="3"/>
        <v>4.3491999984083343</v>
      </c>
      <c r="F20" s="217">
        <f t="shared" si="4"/>
        <v>4.3491999984083343</v>
      </c>
      <c r="G20" s="217">
        <f t="shared" si="5"/>
        <v>4.3491999984083343</v>
      </c>
      <c r="H20" s="211">
        <f t="shared" si="6"/>
        <v>4.3491999984083343</v>
      </c>
      <c r="P20" s="53"/>
      <c r="Q20" s="13">
        <f t="shared" si="8"/>
        <v>2040</v>
      </c>
      <c r="R20" s="6">
        <v>5.5110912170833339</v>
      </c>
      <c r="S20" s="6">
        <v>3.4717706515</v>
      </c>
      <c r="T20" s="7">
        <v>4.2766309883333333</v>
      </c>
      <c r="U20" s="2"/>
      <c r="V20" s="2"/>
      <c r="W20" s="31"/>
      <c r="Y20" s="13">
        <f t="shared" si="9"/>
        <v>2040</v>
      </c>
      <c r="Z20" s="6">
        <v>2.6795460152248252</v>
      </c>
      <c r="AA20" s="6">
        <v>3.7804557331993456</v>
      </c>
      <c r="AB20" s="6">
        <v>4.0385900888644723</v>
      </c>
      <c r="AC20" s="2"/>
      <c r="AD20" s="2"/>
      <c r="AE20" s="31"/>
    </row>
    <row r="21" spans="1:31" x14ac:dyDescent="0.25">
      <c r="A21" s="210">
        <f t="shared" si="7"/>
        <v>2042</v>
      </c>
      <c r="B21" s="217">
        <f t="shared" si="10"/>
        <v>4.4751117142333339</v>
      </c>
      <c r="C21" s="217">
        <f t="shared" si="1"/>
        <v>4.4751117142333339</v>
      </c>
      <c r="D21" s="217">
        <f t="shared" si="2"/>
        <v>4.4751117142333339</v>
      </c>
      <c r="E21" s="217">
        <f t="shared" si="3"/>
        <v>4.4751117142333339</v>
      </c>
      <c r="F21" s="217">
        <f t="shared" si="4"/>
        <v>4.4751117142333339</v>
      </c>
      <c r="G21" s="217">
        <f t="shared" si="5"/>
        <v>4.4751117142333339</v>
      </c>
      <c r="H21" s="211">
        <f t="shared" si="6"/>
        <v>4.4751117142333339</v>
      </c>
      <c r="P21" s="53"/>
      <c r="Q21" s="13">
        <f t="shared" si="8"/>
        <v>2041</v>
      </c>
      <c r="R21" s="6">
        <v>5.5561154957499994</v>
      </c>
      <c r="S21" s="6">
        <v>3.5619390430833331</v>
      </c>
      <c r="T21" s="7">
        <v>4.3387903726666677</v>
      </c>
      <c r="U21" s="2"/>
      <c r="V21" s="2"/>
      <c r="W21" s="31"/>
      <c r="Y21" s="13">
        <f t="shared" si="9"/>
        <v>2041</v>
      </c>
      <c r="Z21" s="6">
        <v>2.7914851155342069</v>
      </c>
      <c r="AA21" s="6">
        <v>3.8088626664015974</v>
      </c>
      <c r="AB21" s="6">
        <v>4.1619111961667281</v>
      </c>
      <c r="AC21" s="2"/>
      <c r="AD21" s="2"/>
      <c r="AE21" s="31"/>
    </row>
    <row r="22" spans="1:31" x14ac:dyDescent="0.25">
      <c r="A22" s="210">
        <f t="shared" si="7"/>
        <v>2043</v>
      </c>
      <c r="B22" s="217">
        <f t="shared" si="10"/>
        <v>4.4092270959333337</v>
      </c>
      <c r="C22" s="217">
        <f t="shared" si="1"/>
        <v>4.4092270959333337</v>
      </c>
      <c r="D22" s="217">
        <f t="shared" si="2"/>
        <v>4.4092270959333337</v>
      </c>
      <c r="E22" s="217">
        <f t="shared" si="3"/>
        <v>4.4092270959333337</v>
      </c>
      <c r="F22" s="217">
        <f t="shared" si="4"/>
        <v>4.4092270959333337</v>
      </c>
      <c r="G22" s="217">
        <f t="shared" si="5"/>
        <v>4.4092270959333337</v>
      </c>
      <c r="H22" s="211">
        <f t="shared" si="6"/>
        <v>4.4092270959333337</v>
      </c>
      <c r="P22" s="53"/>
      <c r="Q22" s="13">
        <f t="shared" si="8"/>
        <v>2042</v>
      </c>
      <c r="R22" s="6">
        <v>5.6747139581666666</v>
      </c>
      <c r="S22" s="6">
        <v>3.6768599845000005</v>
      </c>
      <c r="T22" s="7">
        <v>4.4742218545000005</v>
      </c>
      <c r="U22" s="2"/>
      <c r="V22" s="2"/>
      <c r="W22" s="31"/>
      <c r="Y22" s="13">
        <f t="shared" si="9"/>
        <v>2042</v>
      </c>
      <c r="Z22" s="6">
        <v>2.9129916680013377</v>
      </c>
      <c r="AA22" s="6">
        <v>3.9279025658296289</v>
      </c>
      <c r="AB22" s="6">
        <v>4.299725563392637</v>
      </c>
      <c r="AC22" s="2"/>
      <c r="AD22" s="2"/>
      <c r="AE22" s="31"/>
    </row>
    <row r="23" spans="1:31" x14ac:dyDescent="0.25">
      <c r="A23" s="210">
        <f t="shared" si="7"/>
        <v>2044</v>
      </c>
      <c r="B23" s="217">
        <f t="shared" si="10"/>
        <v>4.6037195064333334</v>
      </c>
      <c r="C23" s="217">
        <f t="shared" si="1"/>
        <v>4.6037195064333334</v>
      </c>
      <c r="D23" s="217">
        <f t="shared" si="2"/>
        <v>4.6037195064333334</v>
      </c>
      <c r="E23" s="217">
        <f t="shared" si="3"/>
        <v>4.6037195064333334</v>
      </c>
      <c r="F23" s="217">
        <f t="shared" si="4"/>
        <v>4.6037195064333334</v>
      </c>
      <c r="G23" s="217">
        <f t="shared" si="5"/>
        <v>4.6037195064333334</v>
      </c>
      <c r="H23" s="211">
        <f t="shared" si="6"/>
        <v>4.6037195064333334</v>
      </c>
      <c r="P23" s="53"/>
      <c r="Q23" s="13">
        <f t="shared" si="8"/>
        <v>2043</v>
      </c>
      <c r="R23" s="6">
        <v>5.7345615192499997</v>
      </c>
      <c r="S23" s="6">
        <v>3.5793746333333334</v>
      </c>
      <c r="T23" s="7">
        <v>4.3770048041666669</v>
      </c>
      <c r="U23" s="2"/>
      <c r="V23" s="2"/>
      <c r="W23" s="31"/>
      <c r="Y23" s="13">
        <f t="shared" si="9"/>
        <v>2043</v>
      </c>
      <c r="Z23" s="6">
        <v>3.0542694429320649</v>
      </c>
      <c r="AA23" s="6">
        <v>4.0581146179505714</v>
      </c>
      <c r="AB23" s="6">
        <v>4.4550460912945979</v>
      </c>
      <c r="AC23" s="2"/>
      <c r="AD23" s="2"/>
      <c r="AE23" s="31"/>
    </row>
    <row r="24" spans="1:31" ht="15.75" thickBot="1" x14ac:dyDescent="0.3">
      <c r="A24" s="210">
        <f t="shared" si="7"/>
        <v>2045</v>
      </c>
      <c r="B24" s="217">
        <f t="shared" si="10"/>
        <v>4.7149612878916667</v>
      </c>
      <c r="C24" s="217">
        <f t="shared" si="1"/>
        <v>4.7149612878916667</v>
      </c>
      <c r="D24" s="217">
        <f t="shared" si="2"/>
        <v>4.7149612878916667</v>
      </c>
      <c r="E24" s="217">
        <f t="shared" si="3"/>
        <v>4.7149612878916667</v>
      </c>
      <c r="F24" s="217">
        <f t="shared" si="4"/>
        <v>4.7149612878916667</v>
      </c>
      <c r="G24" s="217">
        <f t="shared" si="5"/>
        <v>4.7149612878916667</v>
      </c>
      <c r="H24" s="211">
        <f t="shared" si="6"/>
        <v>4.7149612878916667</v>
      </c>
      <c r="P24" s="53"/>
      <c r="Q24" s="13">
        <f t="shared" si="8"/>
        <v>2044</v>
      </c>
      <c r="R24" s="6">
        <v>5.9467872666666679</v>
      </c>
      <c r="S24" s="6">
        <v>3.7448176145000001</v>
      </c>
      <c r="T24" s="7">
        <v>4.5818335374999997</v>
      </c>
      <c r="U24" s="125"/>
      <c r="V24" s="125"/>
      <c r="W24" s="125"/>
      <c r="Y24" s="14">
        <f t="shared" si="9"/>
        <v>2044</v>
      </c>
      <c r="Z24" s="8">
        <v>3.1260504885148883</v>
      </c>
      <c r="AA24" s="8">
        <v>4.1320812098243609</v>
      </c>
      <c r="AB24" s="8">
        <v>4.5130965384887283</v>
      </c>
      <c r="AC24" s="32"/>
      <c r="AD24" s="32"/>
      <c r="AE24" s="33"/>
    </row>
    <row r="25" spans="1:31" x14ac:dyDescent="0.25">
      <c r="A25" s="210">
        <f t="shared" si="7"/>
        <v>2046</v>
      </c>
      <c r="B25" s="217">
        <f t="shared" si="10"/>
        <v>4.6594585730666669</v>
      </c>
      <c r="C25" s="217">
        <f t="shared" si="1"/>
        <v>4.6594585730666669</v>
      </c>
      <c r="D25" s="217">
        <f t="shared" si="2"/>
        <v>4.6594585730666669</v>
      </c>
      <c r="E25" s="217">
        <f t="shared" si="3"/>
        <v>4.6594585730666669</v>
      </c>
      <c r="F25" s="217">
        <f t="shared" si="4"/>
        <v>4.6594585730666669</v>
      </c>
      <c r="G25" s="217">
        <f t="shared" si="5"/>
        <v>4.6594585730666669</v>
      </c>
      <c r="H25" s="211">
        <f t="shared" si="6"/>
        <v>4.6594585730666669</v>
      </c>
      <c r="P25" s="53"/>
      <c r="Q25" s="13">
        <f t="shared" si="8"/>
        <v>2045</v>
      </c>
      <c r="R25" s="6">
        <v>6.0642239428333333</v>
      </c>
      <c r="S25" s="6">
        <v>3.8447499989999998</v>
      </c>
      <c r="T25" s="7">
        <v>4.6973829992500002</v>
      </c>
      <c r="W25" s="36"/>
      <c r="X25" s="36"/>
    </row>
    <row r="26" spans="1:31" x14ac:dyDescent="0.25">
      <c r="A26" s="210">
        <f t="shared" si="7"/>
        <v>2047</v>
      </c>
      <c r="B26" s="217">
        <f t="shared" si="10"/>
        <v>4.752235628666666</v>
      </c>
      <c r="C26" s="217">
        <f t="shared" si="1"/>
        <v>4.752235628666666</v>
      </c>
      <c r="D26" s="217">
        <f t="shared" si="2"/>
        <v>4.752235628666666</v>
      </c>
      <c r="E26" s="217">
        <f t="shared" si="3"/>
        <v>4.752235628666666</v>
      </c>
      <c r="F26" s="217">
        <f t="shared" si="4"/>
        <v>4.752235628666666</v>
      </c>
      <c r="G26" s="217">
        <f t="shared" si="5"/>
        <v>4.752235628666666</v>
      </c>
      <c r="H26" s="211">
        <f t="shared" si="6"/>
        <v>4.752235628666666</v>
      </c>
      <c r="P26" s="53"/>
      <c r="Q26" s="13">
        <f t="shared" si="8"/>
        <v>2046</v>
      </c>
      <c r="R26" s="6">
        <v>6.0907733903333332</v>
      </c>
      <c r="S26" s="6">
        <v>3.8185903199999998</v>
      </c>
      <c r="T26" s="7">
        <v>4.5914535980000002</v>
      </c>
    </row>
    <row r="27" spans="1:31" x14ac:dyDescent="0.25">
      <c r="A27" s="210">
        <f t="shared" si="7"/>
        <v>2048</v>
      </c>
      <c r="B27" s="217">
        <f t="shared" si="10"/>
        <v>4.8832622155499994</v>
      </c>
      <c r="C27" s="217">
        <f t="shared" si="1"/>
        <v>4.8832622155499994</v>
      </c>
      <c r="D27" s="217">
        <f t="shared" si="2"/>
        <v>4.8832622155499994</v>
      </c>
      <c r="E27" s="217">
        <f t="shared" si="3"/>
        <v>4.8832622155499994</v>
      </c>
      <c r="F27" s="217">
        <f t="shared" si="4"/>
        <v>4.8832622155499994</v>
      </c>
      <c r="G27" s="217">
        <f t="shared" si="5"/>
        <v>4.8832622155499994</v>
      </c>
      <c r="H27" s="211">
        <f>IF($K$13="Peak",(VLOOKUP(H$3,$J$5:$M$11,2,FALSE)*$Z28)+(VLOOKUP(H$3,$J$5:$M$11,3,FALSE)*$AA28)+(VLOOKUP(H$3,$J$5:$M$11,4,FALSE)*$AB28),(VLOOKUP(H$3,$J$5:$M$11,2,FALSE)*$R28)+(VLOOKUP(H$3,$J$5:$M$11,3,FALSE)*$S28)+(VLOOKUP(H$3,$J$5:$M$11,4,FALSE)*$T28))</f>
        <v>4.8832622155499994</v>
      </c>
      <c r="P27" s="53"/>
      <c r="Q27" s="13">
        <f t="shared" si="8"/>
        <v>2047</v>
      </c>
      <c r="R27" s="6">
        <v>6.1643392390833336</v>
      </c>
      <c r="S27" s="6">
        <v>3.9243176094999996</v>
      </c>
      <c r="T27" s="7">
        <v>4.6841449959999997</v>
      </c>
    </row>
    <row r="28" spans="1:31" x14ac:dyDescent="0.25">
      <c r="A28" s="210">
        <f t="shared" si="7"/>
        <v>2049</v>
      </c>
      <c r="B28" s="217">
        <f t="shared" si="10"/>
        <v>4.8700327962749999</v>
      </c>
      <c r="C28" s="217">
        <f t="shared" si="1"/>
        <v>4.8700327962749999</v>
      </c>
      <c r="D28" s="217">
        <f t="shared" si="2"/>
        <v>4.8700327962749999</v>
      </c>
      <c r="E28" s="217">
        <f t="shared" si="3"/>
        <v>4.8700327962749999</v>
      </c>
      <c r="F28" s="217">
        <f t="shared" si="4"/>
        <v>4.8700327962749999</v>
      </c>
      <c r="G28" s="217">
        <f t="shared" si="5"/>
        <v>4.8700327962749999</v>
      </c>
      <c r="H28" s="211">
        <f t="shared" si="6"/>
        <v>4.8700327962749999</v>
      </c>
      <c r="P28" s="53"/>
      <c r="Q28" s="13">
        <f t="shared" si="8"/>
        <v>2048</v>
      </c>
      <c r="R28" s="6">
        <v>6.282572424833333</v>
      </c>
      <c r="S28" s="6">
        <v>4.0514355083333333</v>
      </c>
      <c r="T28" s="7">
        <v>4.8226341561666661</v>
      </c>
    </row>
    <row r="29" spans="1:31" ht="15.75" thickBot="1" x14ac:dyDescent="0.3">
      <c r="A29" s="207">
        <f t="shared" si="7"/>
        <v>2050</v>
      </c>
      <c r="B29" s="212">
        <f t="shared" si="10"/>
        <v>4.893975901666666</v>
      </c>
      <c r="C29" s="212">
        <f t="shared" si="1"/>
        <v>4.893975901666666</v>
      </c>
      <c r="D29" s="212">
        <f t="shared" si="2"/>
        <v>4.893975901666666</v>
      </c>
      <c r="E29" s="212">
        <f t="shared" si="3"/>
        <v>4.893975901666666</v>
      </c>
      <c r="F29" s="212">
        <f t="shared" si="4"/>
        <v>4.893975901666666</v>
      </c>
      <c r="G29" s="212">
        <f t="shared" si="5"/>
        <v>4.893975901666666</v>
      </c>
      <c r="H29" s="213">
        <f t="shared" si="6"/>
        <v>4.893975901666666</v>
      </c>
      <c r="P29" s="53"/>
      <c r="Q29" s="13">
        <f t="shared" si="8"/>
        <v>2049</v>
      </c>
      <c r="R29" s="6">
        <v>6.3337029889166665</v>
      </c>
      <c r="S29" s="6">
        <v>4.0673153669166666</v>
      </c>
      <c r="T29" s="7">
        <v>4.7661951768333326</v>
      </c>
    </row>
    <row r="30" spans="1:31" ht="15.75" thickBot="1" x14ac:dyDescent="0.3">
      <c r="P30" s="53"/>
      <c r="Q30" s="14">
        <f t="shared" si="8"/>
        <v>2050</v>
      </c>
      <c r="R30" s="8">
        <v>6.361330450333333</v>
      </c>
      <c r="S30" s="8">
        <v>4.0815218803333329</v>
      </c>
      <c r="T30" s="9">
        <v>4.7945064949999994</v>
      </c>
    </row>
    <row r="31" spans="1:31" ht="15" hidden="1" customHeight="1" x14ac:dyDescent="0.25">
      <c r="A31" t="s">
        <v>38</v>
      </c>
      <c r="P31" s="53"/>
      <c r="R31" s="131">
        <v>6.3594885557999996</v>
      </c>
      <c r="S31" s="131">
        <v>4.8023148883999998</v>
      </c>
      <c r="T31" s="131">
        <v>5.2039607985999998</v>
      </c>
    </row>
    <row r="32" spans="1:31" hidden="1" x14ac:dyDescent="0.25">
      <c r="A32" t="s">
        <v>39</v>
      </c>
      <c r="P32" s="53"/>
    </row>
    <row r="33" spans="16:16" x14ac:dyDescent="0.25">
      <c r="P33" s="53"/>
    </row>
  </sheetData>
  <mergeCells count="5">
    <mergeCell ref="Q3:W3"/>
    <mergeCell ref="Y3:AE3"/>
    <mergeCell ref="J3:O3"/>
    <mergeCell ref="A1:O2"/>
    <mergeCell ref="Q1:W2"/>
  </mergeCells>
  <dataValidations count="1">
    <dataValidation type="list" allowBlank="1" showInputMessage="1" showErrorMessage="1" sqref="K13" xr:uid="{C69055BE-07C2-49B7-9DB2-1F80270B337B}">
      <formula1>$A$31:$A$32</formula1>
    </dataValidation>
  </dataValidations>
  <pageMargins left="0.7" right="0.7" top="0.75" bottom="0.75" header="0.3" footer="0.3"/>
  <pageSetup scale="61" orientation="portrait" r:id="rId1"/>
  <colBreaks count="1" manualBreakCount="1">
    <brk id="1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50FFF-AC0F-40DA-9162-263049C7FC2B}">
  <sheetPr>
    <tabColor rgb="FFFFC000"/>
  </sheetPr>
  <dimension ref="A1:AU34"/>
  <sheetViews>
    <sheetView topLeftCell="Y1" zoomScaleNormal="100" zoomScaleSheetLayoutView="118" workbookViewId="0">
      <selection activeCell="Y1" sqref="Y1:AB3"/>
    </sheetView>
  </sheetViews>
  <sheetFormatPr defaultRowHeight="15" x14ac:dyDescent="0.25"/>
  <cols>
    <col min="1" max="1" width="9.5703125" hidden="1" customWidth="1"/>
    <col min="2" max="4" width="12" hidden="1" customWidth="1"/>
    <col min="5" max="5" width="8.7109375" style="36" hidden="1" customWidth="1"/>
    <col min="6" max="6" width="0" style="53" hidden="1" customWidth="1"/>
    <col min="7" max="7" width="10.28515625" hidden="1" customWidth="1"/>
    <col min="8" max="10" width="0" hidden="1" customWidth="1"/>
    <col min="11" max="11" width="0" style="36" hidden="1" customWidth="1"/>
    <col min="12" max="14" width="0" style="132" hidden="1" customWidth="1"/>
    <col min="15" max="15" width="0" hidden="1" customWidth="1"/>
    <col min="16" max="17" width="0" style="132" hidden="1" customWidth="1"/>
    <col min="18" max="18" width="12" style="132" hidden="1" customWidth="1"/>
    <col min="19" max="24" width="0" hidden="1" customWidth="1"/>
    <col min="42" max="42" width="10.140625" bestFit="1" customWidth="1"/>
  </cols>
  <sheetData>
    <row r="1" spans="1:47" s="36" customFormat="1" ht="14.45" customHeight="1" x14ac:dyDescent="0.35">
      <c r="A1" s="194" t="s">
        <v>173</v>
      </c>
      <c r="B1" s="195"/>
      <c r="C1" s="195"/>
      <c r="D1" s="196"/>
      <c r="E1" s="107"/>
      <c r="F1" s="107"/>
      <c r="H1" s="194" t="s">
        <v>169</v>
      </c>
      <c r="I1" s="195"/>
      <c r="J1" s="196"/>
      <c r="K1" s="107"/>
      <c r="L1" s="194" t="s">
        <v>178</v>
      </c>
      <c r="M1" s="195"/>
      <c r="N1" s="196"/>
      <c r="P1" s="194" t="s">
        <v>179</v>
      </c>
      <c r="Q1" s="195"/>
      <c r="R1" s="196"/>
      <c r="Y1" s="194" t="s">
        <v>173</v>
      </c>
      <c r="Z1" s="195"/>
      <c r="AA1" s="195"/>
      <c r="AB1" s="196"/>
      <c r="AC1" s="107"/>
      <c r="AD1" s="107"/>
      <c r="AE1" s="139"/>
      <c r="AF1" s="194" t="s">
        <v>169</v>
      </c>
      <c r="AG1" s="195"/>
      <c r="AH1" s="196"/>
      <c r="AI1" s="107"/>
      <c r="AJ1" s="194" t="s">
        <v>178</v>
      </c>
      <c r="AK1" s="195"/>
      <c r="AL1" s="196"/>
      <c r="AM1" s="139"/>
      <c r="AN1" s="194" t="s">
        <v>179</v>
      </c>
      <c r="AO1" s="195"/>
      <c r="AP1" s="196"/>
      <c r="AQ1" s="139"/>
      <c r="AR1" s="139"/>
      <c r="AS1" s="139"/>
      <c r="AT1" s="139"/>
      <c r="AU1" s="139"/>
    </row>
    <row r="2" spans="1:47" s="36" customFormat="1" ht="15" customHeight="1" x14ac:dyDescent="0.35">
      <c r="A2" s="201"/>
      <c r="B2" s="202"/>
      <c r="C2" s="202"/>
      <c r="D2" s="203"/>
      <c r="E2" s="107"/>
      <c r="F2" s="107"/>
      <c r="H2" s="201"/>
      <c r="I2" s="202"/>
      <c r="J2" s="203"/>
      <c r="K2" s="107"/>
      <c r="L2" s="201"/>
      <c r="M2" s="202"/>
      <c r="N2" s="203"/>
      <c r="P2" s="201"/>
      <c r="Q2" s="202"/>
      <c r="R2" s="203"/>
      <c r="Y2" s="201"/>
      <c r="Z2" s="202"/>
      <c r="AA2" s="202"/>
      <c r="AB2" s="203"/>
      <c r="AC2" s="107"/>
      <c r="AD2" s="107"/>
      <c r="AE2" s="139"/>
      <c r="AF2" s="201"/>
      <c r="AG2" s="202"/>
      <c r="AH2" s="203"/>
      <c r="AI2" s="107"/>
      <c r="AJ2" s="201"/>
      <c r="AK2" s="202"/>
      <c r="AL2" s="203"/>
      <c r="AM2" s="139"/>
      <c r="AN2" s="201"/>
      <c r="AO2" s="202"/>
      <c r="AP2" s="203"/>
      <c r="AQ2" s="139"/>
      <c r="AR2" s="139"/>
      <c r="AS2" s="139"/>
      <c r="AT2" s="139"/>
      <c r="AU2" s="139"/>
    </row>
    <row r="3" spans="1:47" s="36" customFormat="1" ht="15" customHeight="1" thickBot="1" x14ac:dyDescent="0.4">
      <c r="A3" s="201"/>
      <c r="B3" s="202"/>
      <c r="C3" s="202"/>
      <c r="D3" s="203"/>
      <c r="E3" s="107"/>
      <c r="F3" s="107"/>
      <c r="H3" s="197"/>
      <c r="I3" s="198"/>
      <c r="J3" s="199"/>
      <c r="L3" s="197"/>
      <c r="M3" s="198"/>
      <c r="N3" s="199"/>
      <c r="P3" s="197"/>
      <c r="Q3" s="198"/>
      <c r="R3" s="199"/>
      <c r="S3" s="107"/>
      <c r="Y3" s="201"/>
      <c r="Z3" s="202"/>
      <c r="AA3" s="202"/>
      <c r="AB3" s="203"/>
      <c r="AC3" s="107"/>
      <c r="AD3" s="107"/>
      <c r="AE3" s="139"/>
      <c r="AF3" s="197"/>
      <c r="AG3" s="198"/>
      <c r="AH3" s="199"/>
      <c r="AI3" s="139"/>
      <c r="AJ3" s="197"/>
      <c r="AK3" s="198"/>
      <c r="AL3" s="199"/>
      <c r="AM3" s="139"/>
      <c r="AN3" s="197"/>
      <c r="AO3" s="198"/>
      <c r="AP3" s="199"/>
      <c r="AQ3" s="107"/>
      <c r="AR3" s="139"/>
      <c r="AS3" s="139"/>
      <c r="AT3" s="139"/>
      <c r="AU3" s="139"/>
    </row>
    <row r="4" spans="1:47" ht="15.75" thickBot="1" x14ac:dyDescent="0.3">
      <c r="A4" s="22" t="s">
        <v>45</v>
      </c>
      <c r="B4" s="38" t="s">
        <v>179</v>
      </c>
      <c r="C4" s="38" t="s">
        <v>179</v>
      </c>
      <c r="D4" s="4"/>
      <c r="E4" s="2"/>
      <c r="F4" s="109"/>
      <c r="H4" s="54"/>
      <c r="I4" s="55"/>
      <c r="J4" s="56" t="s">
        <v>125</v>
      </c>
      <c r="L4" s="54"/>
      <c r="M4" s="55"/>
      <c r="N4" s="56" t="s">
        <v>180</v>
      </c>
      <c r="O4" s="36"/>
      <c r="P4" s="54"/>
      <c r="Q4" s="55"/>
      <c r="R4" s="56" t="s">
        <v>179</v>
      </c>
      <c r="S4" s="36"/>
      <c r="T4" s="18" t="s">
        <v>46</v>
      </c>
      <c r="U4" s="36"/>
      <c r="V4" s="200" t="s">
        <v>61</v>
      </c>
      <c r="W4" s="200"/>
      <c r="Y4" s="22" t="s">
        <v>45</v>
      </c>
      <c r="Z4" s="38" t="s">
        <v>179</v>
      </c>
      <c r="AA4" s="38" t="s">
        <v>179</v>
      </c>
      <c r="AB4" s="4"/>
      <c r="AC4" s="129"/>
      <c r="AD4" s="126"/>
      <c r="AE4" s="139"/>
      <c r="AF4" s="54"/>
      <c r="AG4" s="55"/>
      <c r="AH4" s="56" t="s">
        <v>125</v>
      </c>
      <c r="AI4" s="139"/>
      <c r="AJ4" s="54"/>
      <c r="AK4" s="55"/>
      <c r="AL4" s="56" t="s">
        <v>180</v>
      </c>
      <c r="AM4" s="139"/>
      <c r="AN4" s="54"/>
      <c r="AO4" s="55"/>
      <c r="AP4" s="56" t="s">
        <v>179</v>
      </c>
      <c r="AQ4" s="139"/>
      <c r="AR4" s="18" t="s">
        <v>46</v>
      </c>
      <c r="AS4" s="139"/>
      <c r="AT4" s="200" t="s">
        <v>61</v>
      </c>
      <c r="AU4" s="200"/>
    </row>
    <row r="5" spans="1:47" x14ac:dyDescent="0.25">
      <c r="A5" s="208" t="s">
        <v>44</v>
      </c>
      <c r="B5" s="216" t="s">
        <v>29</v>
      </c>
      <c r="C5" s="216" t="s">
        <v>28</v>
      </c>
      <c r="D5" s="209" t="s">
        <v>30</v>
      </c>
      <c r="E5" s="2"/>
      <c r="F5" s="109"/>
      <c r="H5" s="40" t="s">
        <v>42</v>
      </c>
      <c r="I5" s="41" t="s">
        <v>43</v>
      </c>
      <c r="J5" s="57" t="s">
        <v>44</v>
      </c>
      <c r="L5" s="121" t="s">
        <v>42</v>
      </c>
      <c r="M5" s="122" t="s">
        <v>43</v>
      </c>
      <c r="N5" s="123" t="s">
        <v>44</v>
      </c>
      <c r="O5" s="36"/>
      <c r="P5" s="121" t="s">
        <v>42</v>
      </c>
      <c r="Q5" s="122" t="s">
        <v>43</v>
      </c>
      <c r="R5" s="123" t="s">
        <v>44</v>
      </c>
      <c r="S5" s="36"/>
      <c r="T5" s="17" t="s">
        <v>125</v>
      </c>
      <c r="U5" s="29"/>
      <c r="V5" s="35" t="s">
        <v>29</v>
      </c>
      <c r="W5" s="17">
        <v>0.75</v>
      </c>
      <c r="Y5" s="208" t="s">
        <v>44</v>
      </c>
      <c r="Z5" s="216" t="s">
        <v>29</v>
      </c>
      <c r="AA5" s="216" t="s">
        <v>28</v>
      </c>
      <c r="AB5" s="209" t="s">
        <v>30</v>
      </c>
      <c r="AC5" s="129"/>
      <c r="AD5" s="126"/>
      <c r="AE5" s="139"/>
      <c r="AF5" s="140" t="s">
        <v>42</v>
      </c>
      <c r="AG5" s="141" t="s">
        <v>43</v>
      </c>
      <c r="AH5" s="142" t="s">
        <v>44</v>
      </c>
      <c r="AI5" s="139"/>
      <c r="AJ5" s="140" t="s">
        <v>42</v>
      </c>
      <c r="AK5" s="141" t="s">
        <v>43</v>
      </c>
      <c r="AL5" s="142" t="s">
        <v>44</v>
      </c>
      <c r="AM5" s="139"/>
      <c r="AN5" s="140" t="s">
        <v>42</v>
      </c>
      <c r="AO5" s="141" t="s">
        <v>43</v>
      </c>
      <c r="AP5" s="142" t="s">
        <v>44</v>
      </c>
      <c r="AQ5" s="139"/>
      <c r="AR5" s="17" t="s">
        <v>125</v>
      </c>
      <c r="AS5" s="29"/>
      <c r="AT5" s="35" t="s">
        <v>29</v>
      </c>
      <c r="AU5" s="17">
        <v>0.75</v>
      </c>
    </row>
    <row r="6" spans="1:47" x14ac:dyDescent="0.25">
      <c r="A6" s="210">
        <f>'NEW FINAL CALCULATION '!A2</f>
        <v>2025</v>
      </c>
      <c r="B6" s="234">
        <f>HLOOKUP($B$4,$H$4:$R$31,(ROW()-3),FALSE)</f>
        <v>9.4335910064206701</v>
      </c>
      <c r="C6" s="234">
        <f>HLOOKUP($C$4,$H$4:$R$31,(ROW()-3),FALSE)</f>
        <v>9.4335910064206701</v>
      </c>
      <c r="D6" s="235">
        <f>(B6*$W$5)+(C6*$W$6)</f>
        <v>9.4335910064206701</v>
      </c>
      <c r="E6" s="2"/>
      <c r="F6" s="109"/>
      <c r="H6" s="13">
        <f>A6</f>
        <v>2025</v>
      </c>
      <c r="I6" s="234">
        <v>104.67299999999999</v>
      </c>
      <c r="J6" s="235">
        <f t="shared" ref="J6:J31" si="0">I6*$H$33*10</f>
        <v>5.5576383097886044</v>
      </c>
      <c r="L6" s="13">
        <f>2025</f>
        <v>2025</v>
      </c>
      <c r="M6" s="234">
        <v>73</v>
      </c>
      <c r="N6" s="235">
        <f t="shared" ref="N6:N25" si="1">M6*$H$33*10</f>
        <v>3.8759526966320652</v>
      </c>
      <c r="O6" s="36"/>
      <c r="P6" s="13">
        <f>2025</f>
        <v>2025</v>
      </c>
      <c r="Q6" s="234">
        <f>I6+M6</f>
        <v>177.673</v>
      </c>
      <c r="R6" s="235">
        <f t="shared" ref="R6:R25" si="2">Q6*$H$33*10</f>
        <v>9.4335910064206701</v>
      </c>
      <c r="S6" s="36"/>
      <c r="T6" s="30" t="s">
        <v>180</v>
      </c>
      <c r="V6" s="35" t="s">
        <v>28</v>
      </c>
      <c r="W6" s="17">
        <v>0.25</v>
      </c>
      <c r="Y6" s="210">
        <v>2025</v>
      </c>
      <c r="Z6" s="227" t="s">
        <v>183</v>
      </c>
      <c r="AA6" s="227" t="s">
        <v>183</v>
      </c>
      <c r="AB6" s="228" t="s">
        <v>183</v>
      </c>
      <c r="AC6" s="129"/>
      <c r="AD6" s="126"/>
      <c r="AE6" s="139"/>
      <c r="AF6" s="13">
        <v>2025</v>
      </c>
      <c r="AG6" s="231" t="s">
        <v>183</v>
      </c>
      <c r="AH6" s="232" t="s">
        <v>183</v>
      </c>
      <c r="AI6" s="139"/>
      <c r="AJ6" s="13">
        <v>2025</v>
      </c>
      <c r="AK6" s="231" t="s">
        <v>183</v>
      </c>
      <c r="AL6" s="232" t="s">
        <v>183</v>
      </c>
      <c r="AM6" s="139"/>
      <c r="AN6" s="13">
        <v>2025</v>
      </c>
      <c r="AO6" s="231" t="s">
        <v>183</v>
      </c>
      <c r="AP6" s="232" t="s">
        <v>183</v>
      </c>
      <c r="AQ6" s="139"/>
      <c r="AR6" s="30" t="s">
        <v>180</v>
      </c>
      <c r="AS6" s="139"/>
      <c r="AT6" s="35" t="s">
        <v>28</v>
      </c>
      <c r="AU6" s="17">
        <v>0.25</v>
      </c>
    </row>
    <row r="7" spans="1:47" x14ac:dyDescent="0.25">
      <c r="A7" s="210">
        <f>A6+1</f>
        <v>2026</v>
      </c>
      <c r="B7" s="234">
        <f t="shared" ref="B7:B31" si="3">HLOOKUP($B$4,$H$4:$R$31,(ROW()-3),FALSE)</f>
        <v>9.9919936709477852</v>
      </c>
      <c r="C7" s="234">
        <f t="shared" ref="C7:C31" si="4">HLOOKUP($C$4,$H$4:$R$31,(ROW()-3),FALSE)</f>
        <v>9.9919936709477852</v>
      </c>
      <c r="D7" s="235">
        <f>(B7*$W$5)+(C7*$W$6)</f>
        <v>9.9919936709477852</v>
      </c>
      <c r="E7" s="2"/>
      <c r="F7" s="109"/>
      <c r="H7" s="13">
        <f t="shared" ref="H7:H31" si="5">A7</f>
        <v>2026</v>
      </c>
      <c r="I7" s="234">
        <v>106.19</v>
      </c>
      <c r="J7" s="235">
        <f t="shared" si="0"/>
        <v>5.6381837925391647</v>
      </c>
      <c r="L7" s="13">
        <f>L6+1</f>
        <v>2026</v>
      </c>
      <c r="M7" s="234">
        <v>82</v>
      </c>
      <c r="N7" s="235">
        <f t="shared" si="1"/>
        <v>4.3538098784086205</v>
      </c>
      <c r="O7" s="36"/>
      <c r="P7" s="13">
        <f>P6+1</f>
        <v>2026</v>
      </c>
      <c r="Q7" s="234">
        <f t="shared" ref="Q7:Q31" si="6">I7+M7</f>
        <v>188.19</v>
      </c>
      <c r="R7" s="235">
        <f t="shared" si="2"/>
        <v>9.9919936709477852</v>
      </c>
      <c r="S7" s="36"/>
      <c r="T7" s="17" t="s">
        <v>179</v>
      </c>
      <c r="Y7" s="210">
        <v>2026</v>
      </c>
      <c r="Z7" s="227" t="s">
        <v>183</v>
      </c>
      <c r="AA7" s="227" t="s">
        <v>183</v>
      </c>
      <c r="AB7" s="228" t="s">
        <v>183</v>
      </c>
      <c r="AC7" s="129"/>
      <c r="AD7" s="126"/>
      <c r="AE7" s="139"/>
      <c r="AF7" s="13">
        <v>2026</v>
      </c>
      <c r="AG7" s="231" t="s">
        <v>183</v>
      </c>
      <c r="AH7" s="232" t="s">
        <v>183</v>
      </c>
      <c r="AI7" s="139"/>
      <c r="AJ7" s="13">
        <v>2026</v>
      </c>
      <c r="AK7" s="231" t="s">
        <v>183</v>
      </c>
      <c r="AL7" s="232" t="s">
        <v>183</v>
      </c>
      <c r="AM7" s="139"/>
      <c r="AN7" s="13">
        <v>2026</v>
      </c>
      <c r="AO7" s="231" t="s">
        <v>183</v>
      </c>
      <c r="AP7" s="232" t="s">
        <v>183</v>
      </c>
      <c r="AQ7" s="139"/>
      <c r="AR7" s="17" t="s">
        <v>179</v>
      </c>
      <c r="AS7" s="139"/>
      <c r="AT7" s="139"/>
      <c r="AU7" s="139"/>
    </row>
    <row r="8" spans="1:47" x14ac:dyDescent="0.25">
      <c r="A8" s="210">
        <f t="shared" ref="A8:A31" si="7">A7+1</f>
        <v>2027</v>
      </c>
      <c r="B8" s="234">
        <f t="shared" si="3"/>
        <v>11.028253517251457</v>
      </c>
      <c r="C8" s="234">
        <f t="shared" si="4"/>
        <v>11.028253517251457</v>
      </c>
      <c r="D8" s="235">
        <f>(B8*$W$5)+(C8*$W$6)</f>
        <v>11.028253517251457</v>
      </c>
      <c r="E8" s="2"/>
      <c r="F8" s="109"/>
      <c r="H8" s="13">
        <f t="shared" si="5"/>
        <v>2027</v>
      </c>
      <c r="I8" s="234">
        <v>107.70699999999999</v>
      </c>
      <c r="J8" s="235">
        <f t="shared" si="0"/>
        <v>5.7187292752897232</v>
      </c>
      <c r="L8" s="13">
        <f t="shared" ref="L8:L31" si="8">L7+1</f>
        <v>2027</v>
      </c>
      <c r="M8" s="234">
        <v>100</v>
      </c>
      <c r="N8" s="235">
        <f t="shared" si="1"/>
        <v>5.309524241961733</v>
      </c>
      <c r="O8" s="36"/>
      <c r="P8" s="13">
        <f t="shared" ref="P8:P31" si="9">P7+1</f>
        <v>2027</v>
      </c>
      <c r="Q8" s="234">
        <f t="shared" si="6"/>
        <v>207.70699999999999</v>
      </c>
      <c r="R8" s="235">
        <f t="shared" si="2"/>
        <v>11.028253517251457</v>
      </c>
      <c r="S8" s="36"/>
      <c r="Y8" s="210">
        <v>2027</v>
      </c>
      <c r="Z8" s="227" t="s">
        <v>183</v>
      </c>
      <c r="AA8" s="227" t="s">
        <v>183</v>
      </c>
      <c r="AB8" s="228" t="s">
        <v>183</v>
      </c>
      <c r="AC8" s="129"/>
      <c r="AD8" s="126"/>
      <c r="AE8" s="139"/>
      <c r="AF8" s="13">
        <v>2027</v>
      </c>
      <c r="AG8" s="231" t="s">
        <v>183</v>
      </c>
      <c r="AH8" s="232" t="s">
        <v>183</v>
      </c>
      <c r="AI8" s="139"/>
      <c r="AJ8" s="13">
        <v>2027</v>
      </c>
      <c r="AK8" s="231" t="s">
        <v>183</v>
      </c>
      <c r="AL8" s="232" t="s">
        <v>183</v>
      </c>
      <c r="AM8" s="139"/>
      <c r="AN8" s="13">
        <v>2027</v>
      </c>
      <c r="AO8" s="231" t="s">
        <v>183</v>
      </c>
      <c r="AP8" s="232" t="s">
        <v>183</v>
      </c>
      <c r="AQ8" s="139"/>
      <c r="AR8" s="139"/>
      <c r="AS8" s="139"/>
      <c r="AT8" s="139"/>
      <c r="AU8" s="139"/>
    </row>
    <row r="9" spans="1:47" x14ac:dyDescent="0.25">
      <c r="A9" s="210">
        <f t="shared" si="7"/>
        <v>2028</v>
      </c>
      <c r="B9" s="234">
        <f t="shared" si="3"/>
        <v>11.852132393876659</v>
      </c>
      <c r="C9" s="234">
        <f t="shared" si="4"/>
        <v>11.852132393876659</v>
      </c>
      <c r="D9" s="235">
        <f>(B9*$W$5)+(C9*$W$6)</f>
        <v>11.852132393876659</v>
      </c>
      <c r="E9" s="2"/>
      <c r="F9" s="109"/>
      <c r="H9" s="13">
        <f t="shared" si="5"/>
        <v>2028</v>
      </c>
      <c r="I9" s="234">
        <v>109.22399999999999</v>
      </c>
      <c r="J9" s="235">
        <f t="shared" si="0"/>
        <v>5.7992747580402826</v>
      </c>
      <c r="L9" s="13">
        <f t="shared" si="8"/>
        <v>2028</v>
      </c>
      <c r="M9" s="234">
        <v>114</v>
      </c>
      <c r="N9" s="235">
        <f t="shared" si="1"/>
        <v>6.0528576358363759</v>
      </c>
      <c r="O9" s="36"/>
      <c r="P9" s="13">
        <f t="shared" si="9"/>
        <v>2028</v>
      </c>
      <c r="Q9" s="234">
        <f t="shared" si="6"/>
        <v>223.22399999999999</v>
      </c>
      <c r="R9" s="235">
        <f t="shared" si="2"/>
        <v>11.852132393876659</v>
      </c>
      <c r="S9" s="36"/>
      <c r="Y9" s="210">
        <v>2028</v>
      </c>
      <c r="Z9" s="227" t="s">
        <v>183</v>
      </c>
      <c r="AA9" s="227" t="s">
        <v>183</v>
      </c>
      <c r="AB9" s="228" t="s">
        <v>183</v>
      </c>
      <c r="AC9" s="129"/>
      <c r="AD9" s="126"/>
      <c r="AE9" s="139"/>
      <c r="AF9" s="13">
        <v>2028</v>
      </c>
      <c r="AG9" s="231" t="s">
        <v>183</v>
      </c>
      <c r="AH9" s="232" t="s">
        <v>183</v>
      </c>
      <c r="AI9" s="139"/>
      <c r="AJ9" s="13">
        <v>2028</v>
      </c>
      <c r="AK9" s="231" t="s">
        <v>183</v>
      </c>
      <c r="AL9" s="232" t="s">
        <v>183</v>
      </c>
      <c r="AM9" s="139"/>
      <c r="AN9" s="13">
        <v>2028</v>
      </c>
      <c r="AO9" s="231" t="s">
        <v>183</v>
      </c>
      <c r="AP9" s="232" t="s">
        <v>183</v>
      </c>
      <c r="AQ9" s="139"/>
      <c r="AR9" s="139"/>
      <c r="AS9" s="139"/>
      <c r="AT9" s="139"/>
      <c r="AU9" s="139"/>
    </row>
    <row r="10" spans="1:47" x14ac:dyDescent="0.25">
      <c r="A10" s="210">
        <f t="shared" si="7"/>
        <v>2029</v>
      </c>
      <c r="B10" s="234">
        <f t="shared" si="3"/>
        <v>12.357439815984158</v>
      </c>
      <c r="C10" s="234">
        <f t="shared" si="4"/>
        <v>12.357439815984158</v>
      </c>
      <c r="D10" s="235">
        <f>(B10*$W$5)+(C10*$W$6)</f>
        <v>12.357439815984158</v>
      </c>
      <c r="E10" s="2"/>
      <c r="F10" s="109"/>
      <c r="H10" s="13">
        <f t="shared" si="5"/>
        <v>2029</v>
      </c>
      <c r="I10" s="234">
        <v>110.741</v>
      </c>
      <c r="J10" s="235">
        <f t="shared" si="0"/>
        <v>5.8798202407908429</v>
      </c>
      <c r="L10" s="13">
        <f t="shared" si="8"/>
        <v>2029</v>
      </c>
      <c r="M10" s="234">
        <v>122</v>
      </c>
      <c r="N10" s="235">
        <f t="shared" si="1"/>
        <v>6.4776195751933141</v>
      </c>
      <c r="O10" s="36"/>
      <c r="P10" s="13">
        <f t="shared" si="9"/>
        <v>2029</v>
      </c>
      <c r="Q10" s="234">
        <f t="shared" si="6"/>
        <v>232.74099999999999</v>
      </c>
      <c r="R10" s="235">
        <f t="shared" si="2"/>
        <v>12.357439815984158</v>
      </c>
      <c r="S10" s="36"/>
      <c r="Y10" s="210">
        <v>2029</v>
      </c>
      <c r="Z10" s="227" t="s">
        <v>183</v>
      </c>
      <c r="AA10" s="227" t="s">
        <v>183</v>
      </c>
      <c r="AB10" s="228" t="s">
        <v>183</v>
      </c>
      <c r="AC10" s="129"/>
      <c r="AD10" s="126"/>
      <c r="AE10" s="139"/>
      <c r="AF10" s="13">
        <v>2029</v>
      </c>
      <c r="AG10" s="231" t="s">
        <v>183</v>
      </c>
      <c r="AH10" s="232" t="s">
        <v>183</v>
      </c>
      <c r="AI10" s="139"/>
      <c r="AJ10" s="13">
        <v>2029</v>
      </c>
      <c r="AK10" s="231" t="s">
        <v>183</v>
      </c>
      <c r="AL10" s="232" t="s">
        <v>183</v>
      </c>
      <c r="AM10" s="139"/>
      <c r="AN10" s="13">
        <v>2029</v>
      </c>
      <c r="AO10" s="231" t="s">
        <v>183</v>
      </c>
      <c r="AP10" s="232" t="s">
        <v>183</v>
      </c>
      <c r="AQ10" s="139"/>
      <c r="AR10" s="139"/>
      <c r="AS10" s="139"/>
      <c r="AT10" s="139"/>
      <c r="AU10" s="139"/>
    </row>
    <row r="11" spans="1:47" x14ac:dyDescent="0.25">
      <c r="A11" s="210">
        <f t="shared" si="7"/>
        <v>2030</v>
      </c>
      <c r="B11" s="234">
        <f t="shared" si="3"/>
        <v>11.828292630030251</v>
      </c>
      <c r="C11" s="234">
        <f t="shared" si="4"/>
        <v>11.828292630030251</v>
      </c>
      <c r="D11" s="235">
        <f>(B11*$W$5)+(C11*$W$6)</f>
        <v>11.828292630030251</v>
      </c>
      <c r="E11" s="2"/>
      <c r="F11" s="109"/>
      <c r="H11" s="13">
        <f t="shared" si="5"/>
        <v>2030</v>
      </c>
      <c r="I11" s="234">
        <v>113.77499999999999</v>
      </c>
      <c r="J11" s="235">
        <f t="shared" si="0"/>
        <v>6.0409112062919608</v>
      </c>
      <c r="L11" s="13">
        <f t="shared" si="8"/>
        <v>2030</v>
      </c>
      <c r="M11" s="234">
        <v>109</v>
      </c>
      <c r="N11" s="235">
        <f t="shared" si="1"/>
        <v>5.7873814237382888</v>
      </c>
      <c r="O11" s="36"/>
      <c r="P11" s="13">
        <f t="shared" si="9"/>
        <v>2030</v>
      </c>
      <c r="Q11" s="234">
        <f t="shared" si="6"/>
        <v>222.77499999999998</v>
      </c>
      <c r="R11" s="235">
        <f t="shared" si="2"/>
        <v>11.828292630030251</v>
      </c>
      <c r="S11" s="36"/>
      <c r="Y11" s="210">
        <v>2030</v>
      </c>
      <c r="Z11" s="227" t="s">
        <v>183</v>
      </c>
      <c r="AA11" s="227" t="s">
        <v>183</v>
      </c>
      <c r="AB11" s="228" t="s">
        <v>183</v>
      </c>
      <c r="AC11" s="129"/>
      <c r="AD11" s="126"/>
      <c r="AE11" s="139"/>
      <c r="AF11" s="13">
        <v>2030</v>
      </c>
      <c r="AG11" s="231" t="s">
        <v>183</v>
      </c>
      <c r="AH11" s="232" t="s">
        <v>183</v>
      </c>
      <c r="AI11" s="139"/>
      <c r="AJ11" s="13">
        <v>2030</v>
      </c>
      <c r="AK11" s="231" t="s">
        <v>183</v>
      </c>
      <c r="AL11" s="232" t="s">
        <v>183</v>
      </c>
      <c r="AM11" s="139"/>
      <c r="AN11" s="13">
        <v>2030</v>
      </c>
      <c r="AO11" s="231" t="s">
        <v>183</v>
      </c>
      <c r="AP11" s="232" t="s">
        <v>183</v>
      </c>
      <c r="AQ11" s="139"/>
      <c r="AR11" s="139"/>
      <c r="AS11" s="139"/>
      <c r="AT11" s="139"/>
      <c r="AU11" s="139"/>
    </row>
    <row r="12" spans="1:47" x14ac:dyDescent="0.25">
      <c r="A12" s="210">
        <f t="shared" si="7"/>
        <v>2031</v>
      </c>
      <c r="B12" s="234">
        <f t="shared" si="3"/>
        <v>13.448600142949712</v>
      </c>
      <c r="C12" s="234">
        <f t="shared" si="4"/>
        <v>13.448600142949712</v>
      </c>
      <c r="D12" s="235">
        <f>(B12*$W$5)+(C12*$W$6)</f>
        <v>13.448600142949712</v>
      </c>
      <c r="E12" s="2"/>
      <c r="F12" s="109"/>
      <c r="H12" s="13">
        <f t="shared" si="5"/>
        <v>2031</v>
      </c>
      <c r="I12" s="234">
        <v>115.29199999999999</v>
      </c>
      <c r="J12" s="235">
        <f t="shared" si="0"/>
        <v>6.1214566890425202</v>
      </c>
      <c r="L12" s="13">
        <f t="shared" si="8"/>
        <v>2031</v>
      </c>
      <c r="M12" s="234">
        <v>138</v>
      </c>
      <c r="N12" s="235">
        <f t="shared" si="1"/>
        <v>7.3271434539071922</v>
      </c>
      <c r="O12" s="36"/>
      <c r="P12" s="13">
        <f t="shared" si="9"/>
        <v>2031</v>
      </c>
      <c r="Q12" s="234">
        <f t="shared" si="6"/>
        <v>253.29199999999997</v>
      </c>
      <c r="R12" s="235">
        <f t="shared" si="2"/>
        <v>13.448600142949712</v>
      </c>
      <c r="S12" s="36"/>
      <c r="Y12" s="210">
        <v>2031</v>
      </c>
      <c r="Z12" s="227" t="s">
        <v>183</v>
      </c>
      <c r="AA12" s="227" t="s">
        <v>183</v>
      </c>
      <c r="AB12" s="228" t="s">
        <v>183</v>
      </c>
      <c r="AC12" s="129"/>
      <c r="AD12" s="126"/>
      <c r="AE12" s="139"/>
      <c r="AF12" s="13">
        <v>2031</v>
      </c>
      <c r="AG12" s="231" t="s">
        <v>183</v>
      </c>
      <c r="AH12" s="232" t="s">
        <v>183</v>
      </c>
      <c r="AI12" s="139"/>
      <c r="AJ12" s="13">
        <v>2031</v>
      </c>
      <c r="AK12" s="231" t="s">
        <v>183</v>
      </c>
      <c r="AL12" s="232" t="s">
        <v>183</v>
      </c>
      <c r="AM12" s="139"/>
      <c r="AN12" s="13">
        <v>2031</v>
      </c>
      <c r="AO12" s="231" t="s">
        <v>183</v>
      </c>
      <c r="AP12" s="232" t="s">
        <v>183</v>
      </c>
      <c r="AQ12" s="139"/>
      <c r="AR12" s="139"/>
      <c r="AS12" s="139"/>
      <c r="AT12" s="139"/>
      <c r="AU12" s="139"/>
    </row>
    <row r="13" spans="1:47" x14ac:dyDescent="0.25">
      <c r="A13" s="210">
        <f t="shared" si="7"/>
        <v>2032</v>
      </c>
      <c r="B13" s="234">
        <f t="shared" si="3"/>
        <v>14.166288534735678</v>
      </c>
      <c r="C13" s="234">
        <f t="shared" si="4"/>
        <v>14.166288534735678</v>
      </c>
      <c r="D13" s="235">
        <f>(B13*$W$5)+(C13*$W$6)</f>
        <v>14.166288534735678</v>
      </c>
      <c r="E13" s="2"/>
      <c r="F13" s="109"/>
      <c r="H13" s="13">
        <f t="shared" si="5"/>
        <v>2032</v>
      </c>
      <c r="I13" s="234">
        <v>116.809</v>
      </c>
      <c r="J13" s="235">
        <f t="shared" si="0"/>
        <v>6.2020021717930804</v>
      </c>
      <c r="L13" s="13">
        <f t="shared" si="8"/>
        <v>2032</v>
      </c>
      <c r="M13" s="234">
        <v>150</v>
      </c>
      <c r="N13" s="235">
        <f t="shared" si="1"/>
        <v>7.9642863629426</v>
      </c>
      <c r="O13" s="36"/>
      <c r="P13" s="13">
        <f t="shared" si="9"/>
        <v>2032</v>
      </c>
      <c r="Q13" s="234">
        <f t="shared" si="6"/>
        <v>266.80899999999997</v>
      </c>
      <c r="R13" s="235">
        <f t="shared" si="2"/>
        <v>14.166288534735678</v>
      </c>
      <c r="S13" s="36"/>
      <c r="Y13" s="210">
        <v>2032</v>
      </c>
      <c r="Z13" s="227" t="s">
        <v>183</v>
      </c>
      <c r="AA13" s="227" t="s">
        <v>183</v>
      </c>
      <c r="AB13" s="228" t="s">
        <v>183</v>
      </c>
      <c r="AC13" s="129"/>
      <c r="AD13" s="126"/>
      <c r="AE13" s="139"/>
      <c r="AF13" s="13">
        <v>2032</v>
      </c>
      <c r="AG13" s="231" t="s">
        <v>183</v>
      </c>
      <c r="AH13" s="232" t="s">
        <v>183</v>
      </c>
      <c r="AI13" s="139"/>
      <c r="AJ13" s="13">
        <v>2032</v>
      </c>
      <c r="AK13" s="231" t="s">
        <v>183</v>
      </c>
      <c r="AL13" s="232" t="s">
        <v>183</v>
      </c>
      <c r="AM13" s="139"/>
      <c r="AN13" s="13">
        <v>2032</v>
      </c>
      <c r="AO13" s="231" t="s">
        <v>183</v>
      </c>
      <c r="AP13" s="232" t="s">
        <v>183</v>
      </c>
      <c r="AQ13" s="139"/>
      <c r="AR13" s="139"/>
      <c r="AS13" s="139"/>
      <c r="AT13" s="139"/>
      <c r="AU13" s="139"/>
    </row>
    <row r="14" spans="1:47" x14ac:dyDescent="0.25">
      <c r="A14" s="210">
        <f t="shared" si="7"/>
        <v>2033</v>
      </c>
      <c r="B14" s="234">
        <f t="shared" si="3"/>
        <v>14.777786441682414</v>
      </c>
      <c r="C14" s="234">
        <f t="shared" si="4"/>
        <v>14.777786441682414</v>
      </c>
      <c r="D14" s="235">
        <f>(B14*$W$5)+(C14*$W$6)</f>
        <v>14.777786441682414</v>
      </c>
      <c r="E14" s="2"/>
      <c r="F14" s="109"/>
      <c r="H14" s="13">
        <f t="shared" si="5"/>
        <v>2033</v>
      </c>
      <c r="I14" s="234">
        <v>118.32599999999999</v>
      </c>
      <c r="J14" s="235">
        <f t="shared" si="0"/>
        <v>6.2825476545436398</v>
      </c>
      <c r="L14" s="13">
        <f t="shared" si="8"/>
        <v>2033</v>
      </c>
      <c r="M14" s="234">
        <v>160</v>
      </c>
      <c r="N14" s="235">
        <f t="shared" si="1"/>
        <v>8.4952387871387725</v>
      </c>
      <c r="O14" s="36"/>
      <c r="P14" s="13">
        <f t="shared" si="9"/>
        <v>2033</v>
      </c>
      <c r="Q14" s="234">
        <f t="shared" si="6"/>
        <v>278.32600000000002</v>
      </c>
      <c r="R14" s="235">
        <f t="shared" si="2"/>
        <v>14.777786441682414</v>
      </c>
      <c r="S14" s="36"/>
      <c r="Y14" s="210">
        <v>2033</v>
      </c>
      <c r="Z14" s="227" t="s">
        <v>183</v>
      </c>
      <c r="AA14" s="227" t="s">
        <v>183</v>
      </c>
      <c r="AB14" s="228" t="s">
        <v>183</v>
      </c>
      <c r="AC14" s="129"/>
      <c r="AD14" s="126"/>
      <c r="AE14" s="139"/>
      <c r="AF14" s="13">
        <v>2033</v>
      </c>
      <c r="AG14" s="231" t="s">
        <v>183</v>
      </c>
      <c r="AH14" s="232" t="s">
        <v>183</v>
      </c>
      <c r="AI14" s="139"/>
      <c r="AJ14" s="13">
        <v>2033</v>
      </c>
      <c r="AK14" s="231" t="s">
        <v>183</v>
      </c>
      <c r="AL14" s="232" t="s">
        <v>183</v>
      </c>
      <c r="AM14" s="139"/>
      <c r="AN14" s="13">
        <v>2033</v>
      </c>
      <c r="AO14" s="231" t="s">
        <v>183</v>
      </c>
      <c r="AP14" s="232" t="s">
        <v>183</v>
      </c>
      <c r="AQ14" s="139"/>
      <c r="AR14" s="139"/>
      <c r="AS14" s="139"/>
      <c r="AT14" s="139"/>
      <c r="AU14" s="139"/>
    </row>
    <row r="15" spans="1:47" x14ac:dyDescent="0.25">
      <c r="A15" s="210">
        <f t="shared" si="7"/>
        <v>2034</v>
      </c>
      <c r="B15" s="234">
        <f t="shared" si="3"/>
        <v>15.495474833468379</v>
      </c>
      <c r="C15" s="234">
        <f t="shared" si="4"/>
        <v>15.495474833468379</v>
      </c>
      <c r="D15" s="235">
        <f>(B15*$W$5)+(C15*$W$6)</f>
        <v>15.495474833468379</v>
      </c>
      <c r="E15" s="2"/>
      <c r="F15" s="109"/>
      <c r="H15" s="13">
        <f t="shared" si="5"/>
        <v>2034</v>
      </c>
      <c r="I15" s="234">
        <v>119.84299999999999</v>
      </c>
      <c r="J15" s="235">
        <f t="shared" si="0"/>
        <v>6.3630931372941992</v>
      </c>
      <c r="L15" s="13">
        <f t="shared" si="8"/>
        <v>2034</v>
      </c>
      <c r="M15" s="234">
        <v>172</v>
      </c>
      <c r="N15" s="235">
        <f t="shared" si="1"/>
        <v>9.1323816961741819</v>
      </c>
      <c r="O15" s="36"/>
      <c r="P15" s="13">
        <f t="shared" si="9"/>
        <v>2034</v>
      </c>
      <c r="Q15" s="234">
        <f t="shared" si="6"/>
        <v>291.84299999999996</v>
      </c>
      <c r="R15" s="235">
        <f t="shared" si="2"/>
        <v>15.495474833468379</v>
      </c>
      <c r="S15" s="36"/>
      <c r="Y15" s="210">
        <v>2034</v>
      </c>
      <c r="Z15" s="227" t="s">
        <v>183</v>
      </c>
      <c r="AA15" s="227" t="s">
        <v>183</v>
      </c>
      <c r="AB15" s="228" t="s">
        <v>183</v>
      </c>
      <c r="AC15" s="129"/>
      <c r="AD15" s="126"/>
      <c r="AE15" s="139"/>
      <c r="AF15" s="13">
        <v>2034</v>
      </c>
      <c r="AG15" s="231" t="s">
        <v>183</v>
      </c>
      <c r="AH15" s="232" t="s">
        <v>183</v>
      </c>
      <c r="AI15" s="139"/>
      <c r="AJ15" s="13">
        <v>2034</v>
      </c>
      <c r="AK15" s="231" t="s">
        <v>183</v>
      </c>
      <c r="AL15" s="232" t="s">
        <v>183</v>
      </c>
      <c r="AM15" s="139"/>
      <c r="AN15" s="13">
        <v>2034</v>
      </c>
      <c r="AO15" s="231" t="s">
        <v>183</v>
      </c>
      <c r="AP15" s="232" t="s">
        <v>183</v>
      </c>
      <c r="AQ15" s="139"/>
      <c r="AR15" s="139"/>
      <c r="AS15" s="139"/>
      <c r="AT15" s="139"/>
      <c r="AU15" s="139"/>
    </row>
    <row r="16" spans="1:47" x14ac:dyDescent="0.25">
      <c r="A16" s="210">
        <f t="shared" si="7"/>
        <v>2035</v>
      </c>
      <c r="B16" s="234">
        <f t="shared" si="3"/>
        <v>16.106972740415117</v>
      </c>
      <c r="C16" s="234">
        <f t="shared" si="4"/>
        <v>16.106972740415117</v>
      </c>
      <c r="D16" s="235">
        <f>(B16*$W$5)+(C16*$W$6)</f>
        <v>16.106972740415117</v>
      </c>
      <c r="E16" s="2"/>
      <c r="F16" s="109"/>
      <c r="H16" s="13">
        <f t="shared" si="5"/>
        <v>2035</v>
      </c>
      <c r="I16" s="234">
        <v>121.35999999999999</v>
      </c>
      <c r="J16" s="235">
        <f t="shared" si="0"/>
        <v>6.4436386200447586</v>
      </c>
      <c r="L16" s="13">
        <f t="shared" si="8"/>
        <v>2035</v>
      </c>
      <c r="M16" s="234">
        <v>182</v>
      </c>
      <c r="N16" s="235">
        <f t="shared" si="1"/>
        <v>9.6633341203703544</v>
      </c>
      <c r="O16" s="36"/>
      <c r="P16" s="13">
        <f t="shared" si="9"/>
        <v>2035</v>
      </c>
      <c r="Q16" s="234">
        <f t="shared" si="6"/>
        <v>303.36</v>
      </c>
      <c r="R16" s="235">
        <f t="shared" si="2"/>
        <v>16.106972740415117</v>
      </c>
      <c r="S16" s="36"/>
      <c r="Y16" s="210">
        <v>2035</v>
      </c>
      <c r="Z16" s="227" t="s">
        <v>183</v>
      </c>
      <c r="AA16" s="227" t="s">
        <v>183</v>
      </c>
      <c r="AB16" s="228" t="s">
        <v>183</v>
      </c>
      <c r="AC16" s="129"/>
      <c r="AD16" s="126"/>
      <c r="AE16" s="139"/>
      <c r="AF16" s="13">
        <v>2035</v>
      </c>
      <c r="AG16" s="231" t="s">
        <v>183</v>
      </c>
      <c r="AH16" s="232" t="s">
        <v>183</v>
      </c>
      <c r="AI16" s="139"/>
      <c r="AJ16" s="13">
        <v>2035</v>
      </c>
      <c r="AK16" s="231" t="s">
        <v>183</v>
      </c>
      <c r="AL16" s="232" t="s">
        <v>183</v>
      </c>
      <c r="AM16" s="139"/>
      <c r="AN16" s="13">
        <v>2035</v>
      </c>
      <c r="AO16" s="231" t="s">
        <v>183</v>
      </c>
      <c r="AP16" s="232" t="s">
        <v>183</v>
      </c>
      <c r="AQ16" s="139"/>
      <c r="AR16" s="139"/>
      <c r="AS16" s="139"/>
      <c r="AT16" s="139"/>
      <c r="AU16" s="139"/>
    </row>
    <row r="17" spans="1:47" x14ac:dyDescent="0.25">
      <c r="A17" s="210">
        <f t="shared" si="7"/>
        <v>2036</v>
      </c>
      <c r="B17" s="234">
        <f t="shared" si="3"/>
        <v>13.957518041541746</v>
      </c>
      <c r="C17" s="234">
        <f t="shared" si="4"/>
        <v>13.957518041541746</v>
      </c>
      <c r="D17" s="235">
        <f>(B17*$W$5)+(C17*$W$6)</f>
        <v>13.957518041541746</v>
      </c>
      <c r="E17" s="2"/>
      <c r="F17" s="109"/>
      <c r="H17" s="13">
        <f t="shared" si="5"/>
        <v>2036</v>
      </c>
      <c r="I17" s="234">
        <v>122.877</v>
      </c>
      <c r="J17" s="235">
        <f t="shared" si="0"/>
        <v>6.5241841027953189</v>
      </c>
      <c r="L17" s="13">
        <f t="shared" si="8"/>
        <v>2036</v>
      </c>
      <c r="M17" s="234">
        <v>140</v>
      </c>
      <c r="N17" s="235">
        <f t="shared" si="1"/>
        <v>7.4333339387464257</v>
      </c>
      <c r="O17" s="36"/>
      <c r="P17" s="13">
        <f t="shared" si="9"/>
        <v>2036</v>
      </c>
      <c r="Q17" s="234">
        <f t="shared" si="6"/>
        <v>262.87700000000001</v>
      </c>
      <c r="R17" s="235">
        <f t="shared" si="2"/>
        <v>13.957518041541746</v>
      </c>
      <c r="S17" s="36"/>
      <c r="Y17" s="210">
        <v>2036</v>
      </c>
      <c r="Z17" s="227" t="s">
        <v>183</v>
      </c>
      <c r="AA17" s="227" t="s">
        <v>183</v>
      </c>
      <c r="AB17" s="228" t="s">
        <v>183</v>
      </c>
      <c r="AC17" s="129"/>
      <c r="AD17" s="126"/>
      <c r="AE17" s="139"/>
      <c r="AF17" s="13">
        <v>2036</v>
      </c>
      <c r="AG17" s="231" t="s">
        <v>183</v>
      </c>
      <c r="AH17" s="232" t="s">
        <v>183</v>
      </c>
      <c r="AI17" s="139"/>
      <c r="AJ17" s="13">
        <v>2036</v>
      </c>
      <c r="AK17" s="231" t="s">
        <v>183</v>
      </c>
      <c r="AL17" s="232" t="s">
        <v>183</v>
      </c>
      <c r="AM17" s="139"/>
      <c r="AN17" s="13">
        <v>2036</v>
      </c>
      <c r="AO17" s="231" t="s">
        <v>183</v>
      </c>
      <c r="AP17" s="232" t="s">
        <v>183</v>
      </c>
      <c r="AQ17" s="139"/>
      <c r="AR17" s="139"/>
      <c r="AS17" s="139"/>
      <c r="AT17" s="139"/>
      <c r="AU17" s="139"/>
    </row>
    <row r="18" spans="1:47" x14ac:dyDescent="0.25">
      <c r="A18" s="210">
        <f t="shared" si="7"/>
        <v>2037</v>
      </c>
      <c r="B18" s="234">
        <f t="shared" si="3"/>
        <v>13.162894643489754</v>
      </c>
      <c r="C18" s="234">
        <f t="shared" si="4"/>
        <v>13.162894643489754</v>
      </c>
      <c r="D18" s="235">
        <f>(B18*$W$5)+(C18*$W$6)</f>
        <v>13.162894643489754</v>
      </c>
      <c r="E18" s="2"/>
      <c r="F18" s="109"/>
      <c r="H18" s="13">
        <f t="shared" si="5"/>
        <v>2037</v>
      </c>
      <c r="I18" s="234">
        <v>125.91099999999999</v>
      </c>
      <c r="J18" s="235">
        <f t="shared" si="0"/>
        <v>6.6852750682964368</v>
      </c>
      <c r="L18" s="13">
        <f t="shared" si="8"/>
        <v>2037</v>
      </c>
      <c r="M18" s="234">
        <v>122</v>
      </c>
      <c r="N18" s="235">
        <f t="shared" si="1"/>
        <v>6.4776195751933141</v>
      </c>
      <c r="O18" s="36"/>
      <c r="P18" s="13">
        <f t="shared" si="9"/>
        <v>2037</v>
      </c>
      <c r="Q18" s="234">
        <f t="shared" si="6"/>
        <v>247.911</v>
      </c>
      <c r="R18" s="235">
        <f t="shared" si="2"/>
        <v>13.162894643489754</v>
      </c>
      <c r="S18" s="36"/>
      <c r="Y18" s="210">
        <v>2037</v>
      </c>
      <c r="Z18" s="227" t="s">
        <v>183</v>
      </c>
      <c r="AA18" s="227" t="s">
        <v>183</v>
      </c>
      <c r="AB18" s="228" t="s">
        <v>183</v>
      </c>
      <c r="AC18" s="129"/>
      <c r="AD18" s="126"/>
      <c r="AE18" s="139"/>
      <c r="AF18" s="13">
        <v>2037</v>
      </c>
      <c r="AG18" s="231" t="s">
        <v>183</v>
      </c>
      <c r="AH18" s="232" t="s">
        <v>183</v>
      </c>
      <c r="AI18" s="139"/>
      <c r="AJ18" s="13">
        <v>2037</v>
      </c>
      <c r="AK18" s="231" t="s">
        <v>183</v>
      </c>
      <c r="AL18" s="232" t="s">
        <v>183</v>
      </c>
      <c r="AM18" s="139"/>
      <c r="AN18" s="13">
        <v>2037</v>
      </c>
      <c r="AO18" s="231" t="s">
        <v>183</v>
      </c>
      <c r="AP18" s="232" t="s">
        <v>183</v>
      </c>
      <c r="AQ18" s="139"/>
      <c r="AR18" s="139"/>
      <c r="AS18" s="139"/>
      <c r="AT18" s="139"/>
      <c r="AU18" s="139"/>
    </row>
    <row r="19" spans="1:47" x14ac:dyDescent="0.25">
      <c r="A19" s="210">
        <f t="shared" si="7"/>
        <v>2038</v>
      </c>
      <c r="B19" s="234">
        <f t="shared" si="3"/>
        <v>13.668202065597249</v>
      </c>
      <c r="C19" s="234">
        <f t="shared" si="4"/>
        <v>13.668202065597249</v>
      </c>
      <c r="D19" s="235">
        <f>(B19*$W$5)+(C19*$W$6)</f>
        <v>13.668202065597249</v>
      </c>
      <c r="E19" s="2"/>
      <c r="F19" s="109"/>
      <c r="H19" s="13">
        <f t="shared" si="5"/>
        <v>2038</v>
      </c>
      <c r="I19" s="234">
        <v>127.428</v>
      </c>
      <c r="J19" s="235">
        <f t="shared" si="0"/>
        <v>6.7658205510469971</v>
      </c>
      <c r="L19" s="13">
        <f t="shared" si="8"/>
        <v>2038</v>
      </c>
      <c r="M19" s="234">
        <v>130</v>
      </c>
      <c r="N19" s="235">
        <f t="shared" si="1"/>
        <v>6.9023815145502532</v>
      </c>
      <c r="O19" s="36"/>
      <c r="P19" s="13">
        <f t="shared" si="9"/>
        <v>2038</v>
      </c>
      <c r="Q19" s="234">
        <f t="shared" si="6"/>
        <v>257.428</v>
      </c>
      <c r="R19" s="235">
        <f t="shared" si="2"/>
        <v>13.668202065597249</v>
      </c>
      <c r="S19" s="36"/>
      <c r="Y19" s="210">
        <v>2038</v>
      </c>
      <c r="Z19" s="227" t="s">
        <v>183</v>
      </c>
      <c r="AA19" s="227" t="s">
        <v>183</v>
      </c>
      <c r="AB19" s="228" t="s">
        <v>183</v>
      </c>
      <c r="AC19" s="129"/>
      <c r="AD19" s="126"/>
      <c r="AE19" s="139"/>
      <c r="AF19" s="13">
        <v>2038</v>
      </c>
      <c r="AG19" s="231" t="s">
        <v>183</v>
      </c>
      <c r="AH19" s="232" t="s">
        <v>183</v>
      </c>
      <c r="AI19" s="139"/>
      <c r="AJ19" s="13">
        <v>2038</v>
      </c>
      <c r="AK19" s="231" t="s">
        <v>183</v>
      </c>
      <c r="AL19" s="232" t="s">
        <v>183</v>
      </c>
      <c r="AM19" s="139"/>
      <c r="AN19" s="13">
        <v>2038</v>
      </c>
      <c r="AO19" s="231" t="s">
        <v>183</v>
      </c>
      <c r="AP19" s="232" t="s">
        <v>183</v>
      </c>
      <c r="AQ19" s="139"/>
      <c r="AR19" s="139"/>
      <c r="AS19" s="139"/>
      <c r="AT19" s="139"/>
      <c r="AU19" s="139"/>
    </row>
    <row r="20" spans="1:47" x14ac:dyDescent="0.25">
      <c r="A20" s="210">
        <f t="shared" si="7"/>
        <v>2039</v>
      </c>
      <c r="B20" s="234">
        <f t="shared" si="3"/>
        <v>14.226604730124366</v>
      </c>
      <c r="C20" s="234">
        <f t="shared" si="4"/>
        <v>14.226604730124366</v>
      </c>
      <c r="D20" s="235">
        <f>(B20*$W$5)+(C20*$W$6)</f>
        <v>14.226604730124366</v>
      </c>
      <c r="E20" s="2"/>
      <c r="F20" s="109"/>
      <c r="H20" s="13">
        <f t="shared" si="5"/>
        <v>2039</v>
      </c>
      <c r="I20" s="234">
        <v>128.94499999999999</v>
      </c>
      <c r="J20" s="235">
        <f t="shared" si="0"/>
        <v>6.8463660337975565</v>
      </c>
      <c r="L20" s="13">
        <f t="shared" si="8"/>
        <v>2039</v>
      </c>
      <c r="M20" s="234">
        <v>139</v>
      </c>
      <c r="N20" s="235">
        <f t="shared" si="1"/>
        <v>7.3802386963268081</v>
      </c>
      <c r="O20" s="36"/>
      <c r="P20" s="13">
        <f t="shared" si="9"/>
        <v>2039</v>
      </c>
      <c r="Q20" s="234">
        <f t="shared" si="6"/>
        <v>267.94499999999999</v>
      </c>
      <c r="R20" s="235">
        <f t="shared" si="2"/>
        <v>14.226604730124366</v>
      </c>
      <c r="S20" s="36"/>
      <c r="Y20" s="210">
        <v>2039</v>
      </c>
      <c r="Z20" s="227" t="s">
        <v>183</v>
      </c>
      <c r="AA20" s="227" t="s">
        <v>183</v>
      </c>
      <c r="AB20" s="228" t="s">
        <v>183</v>
      </c>
      <c r="AC20" s="129"/>
      <c r="AD20" s="126"/>
      <c r="AE20" s="139"/>
      <c r="AF20" s="13">
        <v>2039</v>
      </c>
      <c r="AG20" s="231" t="s">
        <v>183</v>
      </c>
      <c r="AH20" s="232" t="s">
        <v>183</v>
      </c>
      <c r="AI20" s="139"/>
      <c r="AJ20" s="13">
        <v>2039</v>
      </c>
      <c r="AK20" s="231" t="s">
        <v>183</v>
      </c>
      <c r="AL20" s="232" t="s">
        <v>183</v>
      </c>
      <c r="AM20" s="139"/>
      <c r="AN20" s="13">
        <v>2039</v>
      </c>
      <c r="AO20" s="231" t="s">
        <v>183</v>
      </c>
      <c r="AP20" s="232" t="s">
        <v>183</v>
      </c>
      <c r="AQ20" s="139"/>
      <c r="AR20" s="139"/>
      <c r="AS20" s="139"/>
      <c r="AT20" s="139"/>
      <c r="AU20" s="139"/>
    </row>
    <row r="21" spans="1:47" x14ac:dyDescent="0.25">
      <c r="A21" s="210">
        <f t="shared" si="7"/>
        <v>2040</v>
      </c>
      <c r="B21" s="234">
        <f t="shared" si="3"/>
        <v>14.360245455294542</v>
      </c>
      <c r="C21" s="234">
        <f t="shared" si="4"/>
        <v>14.360245455294542</v>
      </c>
      <c r="D21" s="235">
        <f>(B21*$W$5)+(C21*$W$6)</f>
        <v>14.360245455294542</v>
      </c>
      <c r="E21" s="2"/>
      <c r="F21" s="109"/>
      <c r="H21" s="13">
        <f t="shared" si="5"/>
        <v>2040</v>
      </c>
      <c r="I21" s="234">
        <v>130.46199999999999</v>
      </c>
      <c r="J21" s="235">
        <f t="shared" si="0"/>
        <v>6.926911516548115</v>
      </c>
      <c r="L21" s="13">
        <f t="shared" si="8"/>
        <v>2040</v>
      </c>
      <c r="M21" s="234">
        <v>140</v>
      </c>
      <c r="N21" s="235">
        <f t="shared" si="1"/>
        <v>7.4333339387464257</v>
      </c>
      <c r="O21" s="36"/>
      <c r="P21" s="13">
        <f t="shared" si="9"/>
        <v>2040</v>
      </c>
      <c r="Q21" s="234">
        <f t="shared" si="6"/>
        <v>270.46199999999999</v>
      </c>
      <c r="R21" s="235">
        <f t="shared" si="2"/>
        <v>14.360245455294542</v>
      </c>
      <c r="S21" s="36"/>
      <c r="Y21" s="210">
        <v>2040</v>
      </c>
      <c r="Z21" s="227" t="s">
        <v>183</v>
      </c>
      <c r="AA21" s="227" t="s">
        <v>183</v>
      </c>
      <c r="AB21" s="228" t="s">
        <v>183</v>
      </c>
      <c r="AC21" s="129"/>
      <c r="AD21" s="126"/>
      <c r="AE21" s="139"/>
      <c r="AF21" s="13">
        <v>2040</v>
      </c>
      <c r="AG21" s="231" t="s">
        <v>183</v>
      </c>
      <c r="AH21" s="232" t="s">
        <v>183</v>
      </c>
      <c r="AI21" s="139"/>
      <c r="AJ21" s="13">
        <v>2040</v>
      </c>
      <c r="AK21" s="231" t="s">
        <v>183</v>
      </c>
      <c r="AL21" s="232" t="s">
        <v>183</v>
      </c>
      <c r="AM21" s="139"/>
      <c r="AN21" s="13">
        <v>2040</v>
      </c>
      <c r="AO21" s="231" t="s">
        <v>183</v>
      </c>
      <c r="AP21" s="232" t="s">
        <v>183</v>
      </c>
      <c r="AQ21" s="139"/>
      <c r="AR21" s="139"/>
      <c r="AS21" s="139"/>
      <c r="AT21" s="139"/>
      <c r="AU21" s="139"/>
    </row>
    <row r="22" spans="1:47" x14ac:dyDescent="0.25">
      <c r="A22" s="210">
        <f t="shared" si="7"/>
        <v>2041</v>
      </c>
      <c r="B22" s="234">
        <f t="shared" si="3"/>
        <v>14.175314725947015</v>
      </c>
      <c r="C22" s="234">
        <f t="shared" si="4"/>
        <v>14.175314725947015</v>
      </c>
      <c r="D22" s="235">
        <f>(B22*$W$5)+(C22*$W$6)</f>
        <v>14.175314725947015</v>
      </c>
      <c r="E22" s="2"/>
      <c r="F22" s="109"/>
      <c r="H22" s="13">
        <f t="shared" si="5"/>
        <v>2041</v>
      </c>
      <c r="I22" s="234">
        <v>131.97899999999998</v>
      </c>
      <c r="J22" s="235">
        <f t="shared" si="0"/>
        <v>7.0074569992986744</v>
      </c>
      <c r="L22" s="13">
        <f t="shared" si="8"/>
        <v>2041</v>
      </c>
      <c r="M22" s="234">
        <v>135</v>
      </c>
      <c r="N22" s="235">
        <f t="shared" si="1"/>
        <v>7.1678577266483403</v>
      </c>
      <c r="O22" s="36"/>
      <c r="P22" s="13">
        <f t="shared" si="9"/>
        <v>2041</v>
      </c>
      <c r="Q22" s="234">
        <f t="shared" si="6"/>
        <v>266.97899999999998</v>
      </c>
      <c r="R22" s="235">
        <f t="shared" si="2"/>
        <v>14.175314725947015</v>
      </c>
      <c r="S22" s="36"/>
      <c r="Y22" s="210">
        <v>2041</v>
      </c>
      <c r="Z22" s="227" t="s">
        <v>183</v>
      </c>
      <c r="AA22" s="227" t="s">
        <v>183</v>
      </c>
      <c r="AB22" s="228" t="s">
        <v>183</v>
      </c>
      <c r="AC22" s="129"/>
      <c r="AD22" s="126"/>
      <c r="AE22" s="139"/>
      <c r="AF22" s="13">
        <v>2041</v>
      </c>
      <c r="AG22" s="231" t="s">
        <v>183</v>
      </c>
      <c r="AH22" s="232" t="s">
        <v>183</v>
      </c>
      <c r="AI22" s="139"/>
      <c r="AJ22" s="13">
        <v>2041</v>
      </c>
      <c r="AK22" s="231" t="s">
        <v>183</v>
      </c>
      <c r="AL22" s="232" t="s">
        <v>183</v>
      </c>
      <c r="AM22" s="139"/>
      <c r="AN22" s="13">
        <v>2041</v>
      </c>
      <c r="AO22" s="231" t="s">
        <v>183</v>
      </c>
      <c r="AP22" s="232" t="s">
        <v>183</v>
      </c>
      <c r="AQ22" s="139"/>
      <c r="AR22" s="139"/>
      <c r="AS22" s="139"/>
      <c r="AT22" s="139"/>
      <c r="AU22" s="139"/>
    </row>
    <row r="23" spans="1:47" x14ac:dyDescent="0.25">
      <c r="A23" s="210">
        <f t="shared" si="7"/>
        <v>2042</v>
      </c>
      <c r="B23" s="234">
        <f t="shared" si="3"/>
        <v>13.300145845144462</v>
      </c>
      <c r="C23" s="234">
        <f t="shared" si="4"/>
        <v>13.300145845144462</v>
      </c>
      <c r="D23" s="235">
        <f>(B23*$W$5)+(C23*$W$6)</f>
        <v>13.300145845144462</v>
      </c>
      <c r="E23" s="2"/>
      <c r="F23" s="109"/>
      <c r="H23" s="13">
        <f t="shared" si="5"/>
        <v>2042</v>
      </c>
      <c r="I23" s="234">
        <v>133.49599999999998</v>
      </c>
      <c r="J23" s="235">
        <f t="shared" si="0"/>
        <v>7.0880024820492338</v>
      </c>
      <c r="L23" s="13">
        <f t="shared" si="8"/>
        <v>2042</v>
      </c>
      <c r="M23" s="234">
        <v>117</v>
      </c>
      <c r="N23" s="235">
        <f t="shared" si="1"/>
        <v>6.2121433630952279</v>
      </c>
      <c r="O23" s="36"/>
      <c r="P23" s="13">
        <f t="shared" si="9"/>
        <v>2042</v>
      </c>
      <c r="Q23" s="234">
        <f t="shared" si="6"/>
        <v>250.49599999999998</v>
      </c>
      <c r="R23" s="235">
        <f t="shared" si="2"/>
        <v>13.300145845144462</v>
      </c>
      <c r="S23" s="36"/>
      <c r="Y23" s="210">
        <v>2042</v>
      </c>
      <c r="Z23" s="227" t="s">
        <v>183</v>
      </c>
      <c r="AA23" s="227" t="s">
        <v>183</v>
      </c>
      <c r="AB23" s="228" t="s">
        <v>183</v>
      </c>
      <c r="AC23" s="129"/>
      <c r="AD23" s="126"/>
      <c r="AE23" s="139"/>
      <c r="AF23" s="13">
        <v>2042</v>
      </c>
      <c r="AG23" s="231" t="s">
        <v>183</v>
      </c>
      <c r="AH23" s="232" t="s">
        <v>183</v>
      </c>
      <c r="AI23" s="139"/>
      <c r="AJ23" s="13">
        <v>2042</v>
      </c>
      <c r="AK23" s="231" t="s">
        <v>183</v>
      </c>
      <c r="AL23" s="232" t="s">
        <v>183</v>
      </c>
      <c r="AM23" s="139"/>
      <c r="AN23" s="13">
        <v>2042</v>
      </c>
      <c r="AO23" s="231" t="s">
        <v>183</v>
      </c>
      <c r="AP23" s="232" t="s">
        <v>183</v>
      </c>
      <c r="AQ23" s="139"/>
      <c r="AR23" s="139"/>
      <c r="AS23" s="139"/>
      <c r="AT23" s="139"/>
      <c r="AU23" s="139"/>
    </row>
    <row r="24" spans="1:47" x14ac:dyDescent="0.25">
      <c r="A24" s="210">
        <f t="shared" si="7"/>
        <v>2043</v>
      </c>
      <c r="B24" s="234">
        <f t="shared" si="3"/>
        <v>13.85854850967158</v>
      </c>
      <c r="C24" s="234">
        <f t="shared" si="4"/>
        <v>13.85854850967158</v>
      </c>
      <c r="D24" s="235">
        <f>(B24*$W$5)+(C24*$W$6)</f>
        <v>13.85854850967158</v>
      </c>
      <c r="E24" s="2"/>
      <c r="F24" s="109"/>
      <c r="H24" s="13">
        <f t="shared" si="5"/>
        <v>2043</v>
      </c>
      <c r="I24" s="234">
        <v>135.01300000000001</v>
      </c>
      <c r="J24" s="235">
        <f t="shared" si="0"/>
        <v>7.1685479647997949</v>
      </c>
      <c r="L24" s="13">
        <f t="shared" si="8"/>
        <v>2043</v>
      </c>
      <c r="M24" s="234">
        <v>126</v>
      </c>
      <c r="N24" s="235">
        <f t="shared" si="1"/>
        <v>6.6900005448717836</v>
      </c>
      <c r="O24" s="36"/>
      <c r="P24" s="13">
        <f t="shared" si="9"/>
        <v>2043</v>
      </c>
      <c r="Q24" s="234">
        <f t="shared" si="6"/>
        <v>261.01300000000003</v>
      </c>
      <c r="R24" s="235">
        <f t="shared" si="2"/>
        <v>13.85854850967158</v>
      </c>
      <c r="S24" s="36"/>
      <c r="Y24" s="210">
        <v>2043</v>
      </c>
      <c r="Z24" s="227" t="s">
        <v>183</v>
      </c>
      <c r="AA24" s="227" t="s">
        <v>183</v>
      </c>
      <c r="AB24" s="228" t="s">
        <v>183</v>
      </c>
      <c r="AC24" s="129"/>
      <c r="AD24" s="126"/>
      <c r="AE24" s="139"/>
      <c r="AF24" s="13">
        <v>2043</v>
      </c>
      <c r="AG24" s="231" t="s">
        <v>183</v>
      </c>
      <c r="AH24" s="232" t="s">
        <v>183</v>
      </c>
      <c r="AI24" s="139"/>
      <c r="AJ24" s="13">
        <v>2043</v>
      </c>
      <c r="AK24" s="231" t="s">
        <v>183</v>
      </c>
      <c r="AL24" s="232" t="s">
        <v>183</v>
      </c>
      <c r="AM24" s="139"/>
      <c r="AN24" s="13">
        <v>2043</v>
      </c>
      <c r="AO24" s="231" t="s">
        <v>183</v>
      </c>
      <c r="AP24" s="232" t="s">
        <v>183</v>
      </c>
      <c r="AQ24" s="139"/>
      <c r="AR24" s="139"/>
      <c r="AS24" s="139"/>
      <c r="AT24" s="139"/>
      <c r="AU24" s="139"/>
    </row>
    <row r="25" spans="1:47" x14ac:dyDescent="0.25">
      <c r="A25" s="210">
        <f t="shared" si="7"/>
        <v>2044</v>
      </c>
      <c r="B25" s="234">
        <f t="shared" si="3"/>
        <v>14.363855931779074</v>
      </c>
      <c r="C25" s="234">
        <f t="shared" si="4"/>
        <v>14.363855931779074</v>
      </c>
      <c r="D25" s="235">
        <f>(B25*$W$5)+(C25*$W$6)</f>
        <v>14.363855931779074</v>
      </c>
      <c r="E25" s="2"/>
      <c r="F25" s="109"/>
      <c r="H25" s="13">
        <f t="shared" si="5"/>
        <v>2044</v>
      </c>
      <c r="I25" s="234">
        <v>136.53</v>
      </c>
      <c r="J25" s="235">
        <f t="shared" si="0"/>
        <v>7.2490934475503543</v>
      </c>
      <c r="L25" s="13">
        <f t="shared" si="8"/>
        <v>2044</v>
      </c>
      <c r="M25" s="234">
        <v>134</v>
      </c>
      <c r="N25" s="235">
        <f t="shared" si="1"/>
        <v>7.1147624842287227</v>
      </c>
      <c r="O25" s="36"/>
      <c r="P25" s="13">
        <f t="shared" si="9"/>
        <v>2044</v>
      </c>
      <c r="Q25" s="234">
        <f t="shared" si="6"/>
        <v>270.52999999999997</v>
      </c>
      <c r="R25" s="235">
        <f t="shared" si="2"/>
        <v>14.363855931779074</v>
      </c>
      <c r="S25" s="36"/>
      <c r="Y25" s="210">
        <v>2044</v>
      </c>
      <c r="Z25" s="227" t="s">
        <v>183</v>
      </c>
      <c r="AA25" s="227" t="s">
        <v>183</v>
      </c>
      <c r="AB25" s="228" t="s">
        <v>183</v>
      </c>
      <c r="AC25" s="129"/>
      <c r="AD25" s="126"/>
      <c r="AE25" s="139"/>
      <c r="AF25" s="13">
        <v>2044</v>
      </c>
      <c r="AG25" s="231" t="s">
        <v>183</v>
      </c>
      <c r="AH25" s="232" t="s">
        <v>183</v>
      </c>
      <c r="AI25" s="139"/>
      <c r="AJ25" s="13">
        <v>2044</v>
      </c>
      <c r="AK25" s="231" t="s">
        <v>183</v>
      </c>
      <c r="AL25" s="232" t="s">
        <v>183</v>
      </c>
      <c r="AM25" s="139"/>
      <c r="AN25" s="13">
        <v>2044</v>
      </c>
      <c r="AO25" s="231" t="s">
        <v>183</v>
      </c>
      <c r="AP25" s="232" t="s">
        <v>183</v>
      </c>
      <c r="AQ25" s="139"/>
      <c r="AR25" s="139"/>
      <c r="AS25" s="139"/>
      <c r="AT25" s="139"/>
      <c r="AU25" s="139"/>
    </row>
    <row r="26" spans="1:47" s="132" customFormat="1" x14ac:dyDescent="0.25">
      <c r="A26" s="210">
        <f t="shared" si="7"/>
        <v>2045</v>
      </c>
      <c r="B26" s="234">
        <f t="shared" si="3"/>
        <v>15.055899321476367</v>
      </c>
      <c r="C26" s="234">
        <f t="shared" si="4"/>
        <v>15.055899321476367</v>
      </c>
      <c r="D26" s="235">
        <f>(B26*$W$5)+(C26*$W$6)</f>
        <v>15.055899321476367</v>
      </c>
      <c r="E26" s="129"/>
      <c r="F26" s="126"/>
      <c r="H26" s="13">
        <f t="shared" si="5"/>
        <v>2045</v>
      </c>
      <c r="I26" s="234">
        <v>139.56399999999999</v>
      </c>
      <c r="J26" s="235">
        <f t="shared" si="0"/>
        <v>7.4101844130514731</v>
      </c>
      <c r="L26" s="13">
        <f t="shared" si="8"/>
        <v>2045</v>
      </c>
      <c r="M26" s="234">
        <v>144</v>
      </c>
      <c r="N26" s="235">
        <f t="shared" ref="N26:N31" si="10">M26*$H$33*10</f>
        <v>7.6457149084248952</v>
      </c>
      <c r="P26" s="13">
        <f t="shared" si="9"/>
        <v>2045</v>
      </c>
      <c r="Q26" s="234">
        <f t="shared" si="6"/>
        <v>283.56399999999996</v>
      </c>
      <c r="R26" s="235">
        <f t="shared" ref="R26:R31" si="11">Q26*$H$33*10</f>
        <v>15.055899321476367</v>
      </c>
      <c r="Y26" s="210">
        <v>2045</v>
      </c>
      <c r="Z26" s="227" t="s">
        <v>183</v>
      </c>
      <c r="AA26" s="227" t="s">
        <v>183</v>
      </c>
      <c r="AB26" s="228" t="s">
        <v>183</v>
      </c>
      <c r="AC26" s="129"/>
      <c r="AD26" s="126"/>
      <c r="AE26" s="139"/>
      <c r="AF26" s="13">
        <v>2045</v>
      </c>
      <c r="AG26" s="231" t="s">
        <v>183</v>
      </c>
      <c r="AH26" s="232" t="s">
        <v>183</v>
      </c>
      <c r="AI26" s="139"/>
      <c r="AJ26" s="13">
        <v>2045</v>
      </c>
      <c r="AK26" s="231" t="s">
        <v>183</v>
      </c>
      <c r="AL26" s="232" t="s">
        <v>183</v>
      </c>
      <c r="AM26" s="139"/>
      <c r="AN26" s="13">
        <v>2045</v>
      </c>
      <c r="AO26" s="231" t="s">
        <v>183</v>
      </c>
      <c r="AP26" s="232" t="s">
        <v>183</v>
      </c>
      <c r="AQ26" s="139"/>
      <c r="AR26" s="139"/>
      <c r="AS26" s="139"/>
      <c r="AT26" s="139"/>
      <c r="AU26" s="139"/>
    </row>
    <row r="27" spans="1:47" s="132" customFormat="1" x14ac:dyDescent="0.25">
      <c r="A27" s="210">
        <f t="shared" si="7"/>
        <v>2046</v>
      </c>
      <c r="B27" s="234">
        <f t="shared" si="3"/>
        <v>15.667397228423104</v>
      </c>
      <c r="C27" s="234">
        <f t="shared" si="4"/>
        <v>15.667397228423104</v>
      </c>
      <c r="D27" s="235">
        <f>(B27*$W$5)+(C27*$W$6)</f>
        <v>15.667397228423104</v>
      </c>
      <c r="E27" s="129"/>
      <c r="F27" s="126"/>
      <c r="H27" s="13">
        <f t="shared" si="5"/>
        <v>2046</v>
      </c>
      <c r="I27" s="234">
        <v>141.08099999999999</v>
      </c>
      <c r="J27" s="235">
        <f t="shared" si="0"/>
        <v>7.4907298958020316</v>
      </c>
      <c r="L27" s="13">
        <f t="shared" si="8"/>
        <v>2046</v>
      </c>
      <c r="M27" s="234">
        <v>154</v>
      </c>
      <c r="N27" s="235">
        <f t="shared" si="10"/>
        <v>8.1766673326210686</v>
      </c>
      <c r="P27" s="13">
        <f t="shared" si="9"/>
        <v>2046</v>
      </c>
      <c r="Q27" s="234">
        <f t="shared" si="6"/>
        <v>295.08100000000002</v>
      </c>
      <c r="R27" s="235">
        <f t="shared" si="11"/>
        <v>15.667397228423104</v>
      </c>
      <c r="Y27" s="210">
        <v>2046</v>
      </c>
      <c r="Z27" s="227" t="s">
        <v>183</v>
      </c>
      <c r="AA27" s="227" t="s">
        <v>183</v>
      </c>
      <c r="AB27" s="228" t="s">
        <v>183</v>
      </c>
      <c r="AC27" s="129"/>
      <c r="AD27" s="126"/>
      <c r="AE27" s="139"/>
      <c r="AF27" s="13">
        <v>2046</v>
      </c>
      <c r="AG27" s="231" t="s">
        <v>183</v>
      </c>
      <c r="AH27" s="232" t="s">
        <v>183</v>
      </c>
      <c r="AI27" s="139"/>
      <c r="AJ27" s="13">
        <v>2046</v>
      </c>
      <c r="AK27" s="231" t="s">
        <v>183</v>
      </c>
      <c r="AL27" s="232" t="s">
        <v>183</v>
      </c>
      <c r="AM27" s="139"/>
      <c r="AN27" s="13">
        <v>2046</v>
      </c>
      <c r="AO27" s="231" t="s">
        <v>183</v>
      </c>
      <c r="AP27" s="232" t="s">
        <v>183</v>
      </c>
      <c r="AQ27" s="139"/>
      <c r="AR27" s="139"/>
      <c r="AS27" s="139"/>
      <c r="AT27" s="139"/>
      <c r="AU27" s="139"/>
    </row>
    <row r="28" spans="1:47" s="132" customFormat="1" x14ac:dyDescent="0.25">
      <c r="A28" s="210">
        <f t="shared" si="7"/>
        <v>2047</v>
      </c>
      <c r="B28" s="234">
        <f t="shared" si="3"/>
        <v>16.331990377789449</v>
      </c>
      <c r="C28" s="234">
        <f t="shared" si="4"/>
        <v>16.331990377789449</v>
      </c>
      <c r="D28" s="235">
        <f>(B28*$W$5)+(C28*$W$6)</f>
        <v>16.331990377789449</v>
      </c>
      <c r="E28" s="129"/>
      <c r="F28" s="126"/>
      <c r="H28" s="13">
        <f t="shared" si="5"/>
        <v>2047</v>
      </c>
      <c r="I28" s="234">
        <v>142.59799999999998</v>
      </c>
      <c r="J28" s="235">
        <f t="shared" si="0"/>
        <v>7.571275378552591</v>
      </c>
      <c r="L28" s="13">
        <f t="shared" si="8"/>
        <v>2047</v>
      </c>
      <c r="M28" s="234">
        <v>165</v>
      </c>
      <c r="N28" s="235">
        <f t="shared" si="10"/>
        <v>8.7607149992368587</v>
      </c>
      <c r="P28" s="13">
        <f t="shared" si="9"/>
        <v>2047</v>
      </c>
      <c r="Q28" s="234">
        <f t="shared" si="6"/>
        <v>307.59799999999996</v>
      </c>
      <c r="R28" s="235">
        <f t="shared" si="11"/>
        <v>16.331990377789449</v>
      </c>
      <c r="Y28" s="210">
        <v>2047</v>
      </c>
      <c r="Z28" s="227" t="s">
        <v>183</v>
      </c>
      <c r="AA28" s="227" t="s">
        <v>183</v>
      </c>
      <c r="AB28" s="228" t="s">
        <v>183</v>
      </c>
      <c r="AC28" s="129"/>
      <c r="AD28" s="126"/>
      <c r="AE28" s="139"/>
      <c r="AF28" s="13">
        <v>2047</v>
      </c>
      <c r="AG28" s="231" t="s">
        <v>183</v>
      </c>
      <c r="AH28" s="232" t="s">
        <v>183</v>
      </c>
      <c r="AI28" s="139"/>
      <c r="AJ28" s="13">
        <v>2047</v>
      </c>
      <c r="AK28" s="231" t="s">
        <v>183</v>
      </c>
      <c r="AL28" s="232" t="s">
        <v>183</v>
      </c>
      <c r="AM28" s="139"/>
      <c r="AN28" s="13">
        <v>2047</v>
      </c>
      <c r="AO28" s="231" t="s">
        <v>183</v>
      </c>
      <c r="AP28" s="232" t="s">
        <v>183</v>
      </c>
      <c r="AQ28" s="139"/>
      <c r="AR28" s="139"/>
      <c r="AS28" s="139"/>
      <c r="AT28" s="139"/>
      <c r="AU28" s="139"/>
    </row>
    <row r="29" spans="1:47" s="132" customFormat="1" x14ac:dyDescent="0.25">
      <c r="A29" s="210">
        <f t="shared" si="7"/>
        <v>2048</v>
      </c>
      <c r="B29" s="234">
        <f t="shared" si="3"/>
        <v>16.996583527155803</v>
      </c>
      <c r="C29" s="234">
        <f t="shared" si="4"/>
        <v>16.996583527155803</v>
      </c>
      <c r="D29" s="235">
        <f>(B29*$W$5)+(C29*$W$6)</f>
        <v>16.996583527155803</v>
      </c>
      <c r="E29" s="129"/>
      <c r="F29" s="126"/>
      <c r="H29" s="13">
        <f t="shared" si="5"/>
        <v>2048</v>
      </c>
      <c r="I29" s="234">
        <v>144.11499999999998</v>
      </c>
      <c r="J29" s="235">
        <f t="shared" si="0"/>
        <v>7.6518208613031504</v>
      </c>
      <c r="L29" s="13">
        <f t="shared" si="8"/>
        <v>2048</v>
      </c>
      <c r="M29" s="234">
        <v>176</v>
      </c>
      <c r="N29" s="235">
        <f t="shared" si="10"/>
        <v>9.3447626658526506</v>
      </c>
      <c r="P29" s="13">
        <f t="shared" si="9"/>
        <v>2048</v>
      </c>
      <c r="Q29" s="234">
        <f t="shared" si="6"/>
        <v>320.11500000000001</v>
      </c>
      <c r="R29" s="235">
        <f t="shared" si="11"/>
        <v>16.996583527155803</v>
      </c>
      <c r="Y29" s="210">
        <v>2048</v>
      </c>
      <c r="Z29" s="227" t="s">
        <v>183</v>
      </c>
      <c r="AA29" s="227" t="s">
        <v>183</v>
      </c>
      <c r="AB29" s="228" t="s">
        <v>183</v>
      </c>
      <c r="AC29" s="129"/>
      <c r="AD29" s="126"/>
      <c r="AE29" s="139"/>
      <c r="AF29" s="13">
        <v>2048</v>
      </c>
      <c r="AG29" s="231" t="s">
        <v>183</v>
      </c>
      <c r="AH29" s="232" t="s">
        <v>183</v>
      </c>
      <c r="AI29" s="139"/>
      <c r="AJ29" s="13">
        <v>2048</v>
      </c>
      <c r="AK29" s="231" t="s">
        <v>183</v>
      </c>
      <c r="AL29" s="232" t="s">
        <v>183</v>
      </c>
      <c r="AM29" s="139"/>
      <c r="AN29" s="13">
        <v>2048</v>
      </c>
      <c r="AO29" s="231" t="s">
        <v>183</v>
      </c>
      <c r="AP29" s="232" t="s">
        <v>183</v>
      </c>
      <c r="AQ29" s="139"/>
      <c r="AR29" s="139"/>
      <c r="AS29" s="139"/>
      <c r="AT29" s="139"/>
      <c r="AU29" s="139"/>
    </row>
    <row r="30" spans="1:47" s="132" customFormat="1" x14ac:dyDescent="0.25">
      <c r="A30" s="210">
        <f t="shared" si="7"/>
        <v>2049</v>
      </c>
      <c r="B30" s="234">
        <f t="shared" si="3"/>
        <v>17.714271918941769</v>
      </c>
      <c r="C30" s="234">
        <f t="shared" si="4"/>
        <v>17.714271918941769</v>
      </c>
      <c r="D30" s="235">
        <f>(B30*$W$5)+(C30*$W$6)</f>
        <v>17.714271918941769</v>
      </c>
      <c r="E30" s="129"/>
      <c r="F30" s="126"/>
      <c r="H30" s="13">
        <f t="shared" si="5"/>
        <v>2049</v>
      </c>
      <c r="I30" s="234">
        <v>145.63200000000001</v>
      </c>
      <c r="J30" s="235">
        <f t="shared" si="0"/>
        <v>7.7323663440537116</v>
      </c>
      <c r="L30" s="13">
        <f t="shared" si="8"/>
        <v>2049</v>
      </c>
      <c r="M30" s="234">
        <v>188</v>
      </c>
      <c r="N30" s="235">
        <f t="shared" si="10"/>
        <v>9.9819055748880583</v>
      </c>
      <c r="P30" s="13">
        <f t="shared" si="9"/>
        <v>2049</v>
      </c>
      <c r="Q30" s="234">
        <f t="shared" si="6"/>
        <v>333.63200000000001</v>
      </c>
      <c r="R30" s="235">
        <f t="shared" si="11"/>
        <v>17.714271918941769</v>
      </c>
      <c r="Y30" s="210">
        <v>2049</v>
      </c>
      <c r="Z30" s="227" t="s">
        <v>183</v>
      </c>
      <c r="AA30" s="227" t="s">
        <v>183</v>
      </c>
      <c r="AB30" s="228" t="s">
        <v>183</v>
      </c>
      <c r="AC30" s="129"/>
      <c r="AD30" s="126"/>
      <c r="AE30" s="139"/>
      <c r="AF30" s="13">
        <v>2049</v>
      </c>
      <c r="AG30" s="231" t="s">
        <v>183</v>
      </c>
      <c r="AH30" s="232" t="s">
        <v>183</v>
      </c>
      <c r="AI30" s="139"/>
      <c r="AJ30" s="13">
        <v>2049</v>
      </c>
      <c r="AK30" s="231" t="s">
        <v>183</v>
      </c>
      <c r="AL30" s="232" t="s">
        <v>183</v>
      </c>
      <c r="AM30" s="139"/>
      <c r="AN30" s="13">
        <v>2049</v>
      </c>
      <c r="AO30" s="231" t="s">
        <v>183</v>
      </c>
      <c r="AP30" s="232" t="s">
        <v>183</v>
      </c>
      <c r="AQ30" s="139"/>
      <c r="AR30" s="139"/>
      <c r="AS30" s="139"/>
      <c r="AT30" s="139"/>
      <c r="AU30" s="139"/>
    </row>
    <row r="31" spans="1:47" s="132" customFormat="1" ht="15.75" thickBot="1" x14ac:dyDescent="0.3">
      <c r="A31" s="207">
        <f t="shared" si="7"/>
        <v>2050</v>
      </c>
      <c r="B31" s="236">
        <f t="shared" si="3"/>
        <v>18.53815079556697</v>
      </c>
      <c r="C31" s="236">
        <f t="shared" si="4"/>
        <v>18.53815079556697</v>
      </c>
      <c r="D31" s="237">
        <f>(B31*$W$5)+(C31*$W$6)</f>
        <v>18.53815079556697</v>
      </c>
      <c r="E31" s="129"/>
      <c r="F31" s="126"/>
      <c r="H31" s="13">
        <f t="shared" si="5"/>
        <v>2050</v>
      </c>
      <c r="I31" s="234">
        <v>147.149</v>
      </c>
      <c r="J31" s="235">
        <f t="shared" si="0"/>
        <v>7.812911826804271</v>
      </c>
      <c r="L31" s="13">
        <f t="shared" si="8"/>
        <v>2050</v>
      </c>
      <c r="M31" s="238">
        <v>202</v>
      </c>
      <c r="N31" s="235">
        <f t="shared" si="10"/>
        <v>10.725238968762699</v>
      </c>
      <c r="P31" s="13">
        <f t="shared" si="9"/>
        <v>2050</v>
      </c>
      <c r="Q31" s="238">
        <f t="shared" si="6"/>
        <v>349.149</v>
      </c>
      <c r="R31" s="235">
        <f t="shared" si="11"/>
        <v>18.53815079556697</v>
      </c>
      <c r="Y31" s="207">
        <v>2050</v>
      </c>
      <c r="Z31" s="229" t="s">
        <v>183</v>
      </c>
      <c r="AA31" s="229" t="s">
        <v>183</v>
      </c>
      <c r="AB31" s="230" t="s">
        <v>183</v>
      </c>
      <c r="AC31" s="129"/>
      <c r="AD31" s="126"/>
      <c r="AE31" s="139"/>
      <c r="AF31" s="13">
        <v>2050</v>
      </c>
      <c r="AG31" s="231" t="s">
        <v>183</v>
      </c>
      <c r="AH31" s="232" t="s">
        <v>183</v>
      </c>
      <c r="AI31" s="139"/>
      <c r="AJ31" s="13">
        <v>2050</v>
      </c>
      <c r="AK31" s="233" t="s">
        <v>183</v>
      </c>
      <c r="AL31" s="232" t="s">
        <v>183</v>
      </c>
      <c r="AM31" s="139"/>
      <c r="AN31" s="13">
        <v>2050</v>
      </c>
      <c r="AO31" s="233" t="s">
        <v>183</v>
      </c>
      <c r="AP31" s="232" t="s">
        <v>183</v>
      </c>
      <c r="AQ31" s="139"/>
      <c r="AR31" s="139"/>
      <c r="AS31" s="139"/>
      <c r="AT31" s="139"/>
      <c r="AU31" s="139"/>
    </row>
    <row r="32" spans="1:47" ht="15.75" thickTop="1" x14ac:dyDescent="0.25">
      <c r="G32" s="2"/>
      <c r="H32" s="58"/>
      <c r="I32" s="58"/>
      <c r="J32" s="58"/>
      <c r="L32" s="58"/>
      <c r="M32" s="130"/>
      <c r="N32" s="58"/>
      <c r="O32" s="36"/>
      <c r="P32" s="58"/>
      <c r="Q32" s="128"/>
      <c r="R32" s="58"/>
      <c r="Y32" s="139"/>
      <c r="Z32" s="139"/>
      <c r="AA32" s="139"/>
      <c r="AB32" s="139"/>
      <c r="AC32" s="139"/>
      <c r="AD32" s="53"/>
      <c r="AE32" s="129"/>
      <c r="AF32" s="58"/>
      <c r="AG32" s="58"/>
      <c r="AH32" s="58"/>
      <c r="AI32" s="139"/>
      <c r="AJ32" s="58"/>
      <c r="AK32" s="130"/>
      <c r="AL32" s="58"/>
      <c r="AM32" s="139"/>
      <c r="AN32" s="58"/>
      <c r="AO32" s="130"/>
      <c r="AP32" s="58"/>
      <c r="AQ32" s="139"/>
      <c r="AR32" s="139"/>
      <c r="AS32" s="139"/>
      <c r="AT32" s="139"/>
      <c r="AU32" s="139"/>
    </row>
    <row r="33" spans="7:47" x14ac:dyDescent="0.25">
      <c r="G33" s="36" t="s">
        <v>124</v>
      </c>
      <c r="H33">
        <f>'Upstream Emissions'!H3</f>
        <v>5.3095242419617331E-3</v>
      </c>
      <c r="I33" s="105"/>
      <c r="L33" s="105"/>
      <c r="Y33" s="139"/>
      <c r="Z33" s="139"/>
      <c r="AA33" s="139"/>
      <c r="AB33" s="139"/>
      <c r="AC33" s="139"/>
      <c r="AD33" s="53"/>
      <c r="AE33" s="139" t="s">
        <v>124</v>
      </c>
      <c r="AF33" s="139">
        <f>'Upstream Emissions'!H3</f>
        <v>5.3095242419617331E-3</v>
      </c>
      <c r="AG33" s="105"/>
      <c r="AH33" s="139"/>
      <c r="AI33" s="139"/>
      <c r="AJ33" s="105"/>
      <c r="AK33" s="139"/>
      <c r="AL33" s="139"/>
      <c r="AM33" s="139"/>
      <c r="AN33" s="139"/>
      <c r="AO33" s="139"/>
      <c r="AP33" s="139"/>
      <c r="AQ33" s="139"/>
      <c r="AR33" s="139"/>
      <c r="AS33" s="139"/>
      <c r="AT33" s="139"/>
      <c r="AU33" s="139"/>
    </row>
    <row r="34" spans="7:47" x14ac:dyDescent="0.25">
      <c r="Y34" s="139"/>
      <c r="Z34" s="139"/>
      <c r="AA34" s="139"/>
      <c r="AB34" s="139"/>
      <c r="AC34" s="139"/>
      <c r="AD34" s="53"/>
      <c r="AE34" s="139"/>
      <c r="AF34" s="139"/>
      <c r="AG34" s="139"/>
      <c r="AH34" s="139"/>
      <c r="AI34" s="139"/>
      <c r="AJ34" s="139"/>
      <c r="AK34" s="139"/>
      <c r="AL34" s="139"/>
      <c r="AM34" s="139"/>
      <c r="AN34" s="139"/>
      <c r="AO34" s="139"/>
      <c r="AP34" s="139"/>
      <c r="AQ34" s="139"/>
      <c r="AR34" s="139"/>
      <c r="AS34" s="139"/>
      <c r="AT34" s="139"/>
      <c r="AU34" s="139"/>
    </row>
  </sheetData>
  <sheetProtection algorithmName="SHA-512" hashValue="qEju8UQR8pdLurviT+hZ16GguS/UhoQCpM7TxmmNyxutu1ydq7TYQ7yjzsutd5sda6mGpN0PR2xo+WaDRAQJ2g==" saltValue="9SZybDWUPnN9Guf88AbeNg==" spinCount="100000" sheet="1" objects="1" scenarios="1"/>
  <mergeCells count="10">
    <mergeCell ref="Y1:AB3"/>
    <mergeCell ref="AF1:AH3"/>
    <mergeCell ref="AJ1:AL3"/>
    <mergeCell ref="AN1:AP3"/>
    <mergeCell ref="AT4:AU4"/>
    <mergeCell ref="V4:W4"/>
    <mergeCell ref="A1:D3"/>
    <mergeCell ref="H1:J3"/>
    <mergeCell ref="L1:N3"/>
    <mergeCell ref="P1:R3"/>
  </mergeCells>
  <dataValidations count="1">
    <dataValidation type="list" allowBlank="1" showInputMessage="1" showErrorMessage="1" sqref="B4:C4" xr:uid="{F0746822-3DA8-4C52-931E-12E598F847AF}">
      <formula1>$T$5:$T$7</formula1>
    </dataValidation>
  </dataValidations>
  <pageMargins left="0.7" right="0.7" top="0.75" bottom="0.75" header="0.3" footer="0.3"/>
  <pageSetup scale="58" orientation="portrait" r:id="rId1"/>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021798823131A4A823CDD89AD2013F3" ma:contentTypeVersion="14" ma:contentTypeDescription="Create a new document." ma:contentTypeScope="" ma:versionID="89bbe3281c7d0eae8037ca3de9e5e42f">
  <xsd:schema xmlns:xsd="http://www.w3.org/2001/XMLSchema" xmlns:xs="http://www.w3.org/2001/XMLSchema" xmlns:p="http://schemas.microsoft.com/office/2006/metadata/properties" xmlns:ns2="67bc7d43-2b43-4335-a436-8e0ab71a77c4" xmlns:ns3="7939557d-3bde-410c-956e-39d784acf85a" targetNamespace="http://schemas.microsoft.com/office/2006/metadata/properties" ma:root="true" ma:fieldsID="229bcfd06fcec25383c53fe48e0dd151" ns2:_="" ns3:_="">
    <xsd:import namespace="67bc7d43-2b43-4335-a436-8e0ab71a77c4"/>
    <xsd:import namespace="7939557d-3bde-410c-956e-39d784acf8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bc7d43-2b43-4335-a436-8e0ab71a77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939557d-3bde-410c-956e-39d784acf85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BD85CC-A766-4295-BF17-3184DDAD074F}">
  <ds:schemaRefs>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7939557d-3bde-410c-956e-39d784acf85a"/>
    <ds:schemaRef ds:uri="67bc7d43-2b43-4335-a436-8e0ab71a77c4"/>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DAEE0ACD-2B35-4EB4-92D8-DF568E83D6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bc7d43-2b43-4335-a436-8e0ab71a77c4"/>
    <ds:schemaRef ds:uri="7939557d-3bde-410c-956e-39d784acf8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C8F535-F839-4227-9242-F7D7CBDCFB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SUMMARY</vt:lpstr>
      <vt:lpstr>NEW FINAL CALCULATION </vt:lpstr>
      <vt:lpstr>INCRM FIXED TRANSPORT</vt:lpstr>
      <vt:lpstr>VARIABLE TRANSPORT</vt:lpstr>
      <vt:lpstr>FUEL</vt:lpstr>
      <vt:lpstr>FIXED STORAGE</vt:lpstr>
      <vt:lpstr>VARIABLE STORAGE</vt:lpstr>
      <vt:lpstr>COMMODITY COST</vt:lpstr>
      <vt:lpstr>CARBON TAX</vt:lpstr>
      <vt:lpstr>Upstream Emissions</vt:lpstr>
      <vt:lpstr>ENVIRONMENTAL ADDER</vt:lpstr>
      <vt:lpstr>DISTRIBUTION SYSTEM</vt:lpstr>
      <vt:lpstr>RISK PREMIUM</vt:lpstr>
      <vt:lpstr>INFLATION</vt:lpstr>
      <vt:lpstr>'CARBON TAX'!Print_Area</vt:lpstr>
      <vt:lpstr>'COMMODITY COST'!Print_Area</vt:lpstr>
      <vt:lpstr>'DISTRIBUTION SYSTEM'!Print_Area</vt:lpstr>
      <vt:lpstr>'ENVIRONMENTAL ADDER'!Print_Area</vt:lpstr>
      <vt:lpstr>'FIXED STORAGE'!Print_Area</vt:lpstr>
      <vt:lpstr>FUEL!Print_Area</vt:lpstr>
      <vt:lpstr>'INCRM FIXED TRANSPORT'!Print_Area</vt:lpstr>
      <vt:lpstr>INFLATION!Print_Area</vt:lpstr>
      <vt:lpstr>'NEW FINAL CALCULATION '!Print_Area</vt:lpstr>
      <vt:lpstr>'RISK PREMIUM'!Print_Area</vt:lpstr>
      <vt:lpstr>SUMMARY!Print_Area</vt:lpstr>
      <vt:lpstr>'Upstream Emissions'!Print_Area</vt:lpstr>
      <vt:lpstr>'VARIABLE STORAGE'!Print_Area</vt:lpstr>
      <vt:lpstr>'VARIABLE TRANSPORT'!Print_Area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McGreal, Devin</dc:creator>
  <cp:lastModifiedBy>Robertson, Brian</cp:lastModifiedBy>
  <cp:lastPrinted>2024-08-22T14:46:11Z</cp:lastPrinted>
  <dcterms:created xsi:type="dcterms:W3CDTF">2018-03-23T17:37:03Z</dcterms:created>
  <dcterms:modified xsi:type="dcterms:W3CDTF">2024-08-22T15:06:35Z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da8032d-c4fe-48b8-9054-92634c9ea061_Enabled">
    <vt:lpwstr>true</vt:lpwstr>
  </property>
  <property fmtid="{D5CDD505-2E9C-101B-9397-08002B2CF9AE}" pid="3" name="MSIP_Label_1da8032d-c4fe-48b8-9054-92634c9ea061_SetDate">
    <vt:lpwstr>2024-08-13T22:13:32Z</vt:lpwstr>
  </property>
  <property fmtid="{D5CDD505-2E9C-101B-9397-08002B2CF9AE}" pid="4" name="MSIP_Label_1da8032d-c4fe-48b8-9054-92634c9ea061_Method">
    <vt:lpwstr>Standard</vt:lpwstr>
  </property>
  <property fmtid="{D5CDD505-2E9C-101B-9397-08002B2CF9AE}" pid="5" name="MSIP_Label_1da8032d-c4fe-48b8-9054-92634c9ea061_Name">
    <vt:lpwstr>Label 2 - Docs</vt:lpwstr>
  </property>
  <property fmtid="{D5CDD505-2E9C-101B-9397-08002B2CF9AE}" pid="6" name="MSIP_Label_1da8032d-c4fe-48b8-9054-92634c9ea061_SiteId">
    <vt:lpwstr>ce6a0196-6152-4c6a-9d1d-e946c3735743</vt:lpwstr>
  </property>
  <property fmtid="{D5CDD505-2E9C-101B-9397-08002B2CF9AE}" pid="7" name="MSIP_Label_1da8032d-c4fe-48b8-9054-92634c9ea061_ActionId">
    <vt:lpwstr>ba22e1e5-76a3-4658-b8c8-bd6a5aff4ac5</vt:lpwstr>
  </property>
  <property fmtid="{D5CDD505-2E9C-101B-9397-08002B2CF9AE}" pid="8" name="MSIP_Label_1da8032d-c4fe-48b8-9054-92634c9ea061_ContentBits">
    <vt:lpwstr>0</vt:lpwstr>
  </property>
  <property fmtid="{D5CDD505-2E9C-101B-9397-08002B2CF9AE}" pid="9" name="ContentTypeId">
    <vt:lpwstr>0x010100A021798823131A4A823CDD89AD2013F3</vt:lpwstr>
  </property>
</Properties>
</file>